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erna\Desktop\"/>
    </mc:Choice>
  </mc:AlternateContent>
  <workbookProtection workbookAlgorithmName="SHA-512" workbookHashValue="OPzcWd8JsuwEJOrzx9A+0Jtt2b3f7QmqKxaLJ2wo3amRBd00H0xfgxmfUf/oY6gB6gKdcWp/mC6k99VD70T9BA==" workbookSaltValue="JfBoWXh22hOh2okDTpir6g==" workbookSpinCount="100000" lockStructure="1"/>
  <bookViews>
    <workbookView xWindow="0" yWindow="0" windowWidth="20490" windowHeight="7620" activeTab="1"/>
  </bookViews>
  <sheets>
    <sheet name="Datos Estudiantes" sheetId="4" r:id="rId1"/>
    <sheet name="Planilla Notas" sheetId="3" r:id="rId2"/>
    <sheet name="Informe estudiante" sheetId="5" r:id="rId3"/>
  </sheets>
  <calcPr calcId="162913"/>
</workbook>
</file>

<file path=xl/calcChain.xml><?xml version="1.0" encoding="utf-8"?>
<calcChain xmlns="http://schemas.openxmlformats.org/spreadsheetml/2006/main">
  <c r="F17" i="3" l="1"/>
  <c r="H15" i="3" l="1"/>
  <c r="D118" i="5" l="1"/>
  <c r="D117" i="5"/>
  <c r="D116" i="5"/>
  <c r="D115" i="5"/>
  <c r="D114" i="5"/>
  <c r="D113" i="5"/>
  <c r="D112" i="5"/>
  <c r="N103" i="5"/>
  <c r="N102" i="5"/>
  <c r="N101" i="5"/>
  <c r="N100" i="5"/>
  <c r="N99" i="5"/>
  <c r="N98" i="5"/>
  <c r="N97" i="5"/>
  <c r="I103" i="5"/>
  <c r="I102" i="5"/>
  <c r="I101" i="5"/>
  <c r="I100" i="5"/>
  <c r="I99" i="5"/>
  <c r="I98" i="5"/>
  <c r="I97" i="5"/>
  <c r="D103" i="5"/>
  <c r="D102" i="5"/>
  <c r="D101" i="5"/>
  <c r="D100" i="5"/>
  <c r="D99" i="5"/>
  <c r="D98" i="5"/>
  <c r="D97" i="5"/>
  <c r="N88" i="5"/>
  <c r="N87" i="5"/>
  <c r="N86" i="5"/>
  <c r="N85" i="5"/>
  <c r="N84" i="5"/>
  <c r="N83" i="5"/>
  <c r="N82" i="5"/>
  <c r="I88" i="5"/>
  <c r="I87" i="5"/>
  <c r="I86" i="5"/>
  <c r="I85" i="5"/>
  <c r="I84" i="5"/>
  <c r="I83" i="5"/>
  <c r="I82" i="5"/>
  <c r="D88" i="5"/>
  <c r="D87" i="5"/>
  <c r="D86" i="5"/>
  <c r="D85" i="5"/>
  <c r="D84" i="5"/>
  <c r="D83" i="5"/>
  <c r="D82" i="5"/>
  <c r="N73" i="5"/>
  <c r="N72" i="5"/>
  <c r="N71" i="5"/>
  <c r="N70" i="5"/>
  <c r="N69" i="5"/>
  <c r="N68" i="5"/>
  <c r="N67" i="5"/>
  <c r="I73" i="5"/>
  <c r="I72" i="5"/>
  <c r="I71" i="5"/>
  <c r="I70" i="5"/>
  <c r="I69" i="5"/>
  <c r="I68" i="5"/>
  <c r="I67" i="5"/>
  <c r="D73" i="5"/>
  <c r="D72" i="5"/>
  <c r="D71" i="5"/>
  <c r="D70" i="5"/>
  <c r="D69" i="5"/>
  <c r="D68" i="5"/>
  <c r="D67" i="5"/>
  <c r="N58" i="5"/>
  <c r="N57" i="5"/>
  <c r="N56" i="5"/>
  <c r="N55" i="5"/>
  <c r="N54" i="5"/>
  <c r="N53" i="5"/>
  <c r="N52" i="5"/>
  <c r="I58" i="5"/>
  <c r="I57" i="5"/>
  <c r="I56" i="5"/>
  <c r="I55" i="5"/>
  <c r="I54" i="5"/>
  <c r="I53" i="5"/>
  <c r="I52" i="5"/>
  <c r="D58" i="5"/>
  <c r="D57" i="5"/>
  <c r="D56" i="5"/>
  <c r="D55" i="5"/>
  <c r="D54" i="5"/>
  <c r="D53" i="5"/>
  <c r="D52" i="5"/>
  <c r="N43" i="5"/>
  <c r="N42" i="5"/>
  <c r="N41" i="5"/>
  <c r="N40" i="5"/>
  <c r="N39" i="5"/>
  <c r="N38" i="5"/>
  <c r="N37" i="5"/>
  <c r="I43" i="5"/>
  <c r="I42" i="5"/>
  <c r="I41" i="5"/>
  <c r="I40" i="5"/>
  <c r="I39" i="5"/>
  <c r="I38" i="5"/>
  <c r="I37" i="5"/>
  <c r="D43" i="5"/>
  <c r="D42" i="5"/>
  <c r="D41" i="5"/>
  <c r="D40" i="5"/>
  <c r="D39" i="5"/>
  <c r="D38" i="5"/>
  <c r="D37" i="5"/>
  <c r="N27" i="5"/>
  <c r="N26" i="5"/>
  <c r="N25" i="5"/>
  <c r="N24" i="5"/>
  <c r="N22" i="5"/>
  <c r="I28" i="5"/>
  <c r="I27" i="5"/>
  <c r="I26" i="5"/>
  <c r="I25" i="5"/>
  <c r="I24" i="5"/>
  <c r="I23" i="5"/>
  <c r="I22" i="5"/>
  <c r="D27" i="5"/>
  <c r="D26" i="5"/>
  <c r="D25" i="5"/>
  <c r="D24" i="5"/>
  <c r="D22" i="5"/>
  <c r="D21" i="5"/>
  <c r="D11" i="5"/>
  <c r="D13" i="5"/>
  <c r="D12" i="5"/>
  <c r="D10" i="5"/>
  <c r="D9" i="5"/>
  <c r="D8" i="5"/>
  <c r="D7" i="5"/>
  <c r="D6" i="5"/>
  <c r="B18" i="3"/>
  <c r="J18" i="3" s="1"/>
  <c r="X33" i="3"/>
  <c r="X32" i="3"/>
  <c r="X31" i="3"/>
  <c r="X30" i="3"/>
  <c r="X29" i="3"/>
  <c r="X28" i="3"/>
  <c r="X27" i="3"/>
  <c r="X26" i="3"/>
  <c r="X25" i="3"/>
  <c r="X24" i="3"/>
  <c r="X23" i="3"/>
  <c r="X22" i="3"/>
  <c r="X20" i="3"/>
  <c r="X19" i="3"/>
  <c r="X16" i="3"/>
  <c r="X1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6" i="3"/>
  <c r="W14" i="3"/>
  <c r="V1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7" i="3"/>
  <c r="V16" i="3"/>
  <c r="V15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4" i="3"/>
  <c r="T17" i="3"/>
  <c r="T16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5" i="3"/>
  <c r="T14" i="3"/>
  <c r="R19" i="3"/>
  <c r="R17" i="3"/>
  <c r="R16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5" i="3"/>
  <c r="R14" i="3"/>
  <c r="P17" i="3"/>
  <c r="P16" i="3"/>
  <c r="P15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4" i="3"/>
  <c r="N19" i="3"/>
  <c r="N17" i="3"/>
  <c r="N16" i="3"/>
  <c r="N15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4" i="3"/>
  <c r="L20" i="3"/>
  <c r="L19" i="3"/>
  <c r="L16" i="3"/>
  <c r="L1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K17" i="3"/>
  <c r="L17" i="3" s="1"/>
  <c r="W17" i="3" s="1"/>
  <c r="K16" i="3"/>
  <c r="K15" i="3"/>
  <c r="L15" i="3" s="1"/>
  <c r="W15" i="3" s="1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7" i="3"/>
  <c r="J16" i="3"/>
  <c r="J15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7" i="3"/>
  <c r="I16" i="3"/>
  <c r="I15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7" i="3"/>
  <c r="H16" i="3"/>
  <c r="N28" i="5" l="1"/>
  <c r="X17" i="3"/>
  <c r="N23" i="5"/>
  <c r="D28" i="5"/>
  <c r="X15" i="3"/>
  <c r="D23" i="5"/>
  <c r="H18" i="3"/>
  <c r="I18" i="3"/>
  <c r="U18" i="3"/>
  <c r="V18" i="3" s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6" i="3"/>
  <c r="F15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C15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T18" i="3" s="1"/>
  <c r="S17" i="3"/>
  <c r="S16" i="3"/>
  <c r="S15" i="3"/>
  <c r="S1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R18" i="3" s="1"/>
  <c r="Q17" i="3"/>
  <c r="Q16" i="3"/>
  <c r="Q15" i="3"/>
  <c r="Q1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P18" i="3" s="1"/>
  <c r="O17" i="3"/>
  <c r="O16" i="3"/>
  <c r="O15" i="3"/>
  <c r="O1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N18" i="3" s="1"/>
  <c r="M17" i="3"/>
  <c r="M16" i="3"/>
  <c r="M15" i="3"/>
  <c r="M14" i="3"/>
  <c r="K14" i="3"/>
  <c r="J14" i="3"/>
  <c r="I14" i="3"/>
  <c r="H14" i="3"/>
  <c r="G14" i="3"/>
  <c r="F14" i="3"/>
  <c r="E14" i="3"/>
  <c r="D14" i="3"/>
  <c r="C14" i="3"/>
  <c r="B1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7" i="3"/>
  <c r="B16" i="3"/>
  <c r="B15" i="3"/>
  <c r="K18" i="3" l="1"/>
  <c r="L18" i="3" s="1"/>
  <c r="W18" i="3" s="1"/>
  <c r="X37" i="3" l="1"/>
  <c r="X36" i="3"/>
  <c r="X18" i="3"/>
  <c r="X35" i="3"/>
</calcChain>
</file>

<file path=xl/comments1.xml><?xml version="1.0" encoding="utf-8"?>
<comments xmlns="http://schemas.openxmlformats.org/spreadsheetml/2006/main">
  <authors>
    <author>Profesores Ciencias Basicias e Ingenieria 02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Copiar y pegar los codigos de la hoja Datos Estudiantes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4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6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17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7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7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7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7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19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9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9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0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0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0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1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1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1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1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2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2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2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2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3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3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3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3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3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4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4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4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4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4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5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5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5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5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5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6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6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6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6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7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7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7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7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7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8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8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8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8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8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9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9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9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9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9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3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0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0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0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0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1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1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1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1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3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32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2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2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2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2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2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3" authorId="0" shapeId="0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3" authorId="0" shapeId="0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3" authorId="0" shapeId="0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3" authorId="0" shapeId="0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Profesores Ciencias Basicias e Ingenieria 02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I8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N8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9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I9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N96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</commentList>
</comments>
</file>

<file path=xl/sharedStrings.xml><?xml version="1.0" encoding="utf-8"?>
<sst xmlns="http://schemas.openxmlformats.org/spreadsheetml/2006/main" count="259" uniqueCount="56">
  <si>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</si>
  <si>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</si>
  <si>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</si>
  <si>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</si>
  <si>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</si>
  <si>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</si>
  <si>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</si>
  <si>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</si>
  <si>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</si>
  <si>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</si>
  <si>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</si>
  <si>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</si>
  <si>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</si>
  <si>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</si>
  <si>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</si>
  <si>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</si>
  <si>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</si>
  <si>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</si>
  <si>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</si>
  <si>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</si>
  <si>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</si>
  <si>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</si>
  <si>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</si>
  <si>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</si>
  <si>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</si>
  <si>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</si>
  <si>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</si>
  <si>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</si>
  <si>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</si>
  <si>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</si>
  <si>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</si>
  <si>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</si>
  <si>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</si>
  <si>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</si>
  <si>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</si>
  <si>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</si>
  <si>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</si>
  <si>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</si>
  <si>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</si>
  <si>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</si>
  <si>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</si>
  <si>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</si>
  <si>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</si>
  <si>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</si>
  <si>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</si>
  <si>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Validar los siguientes datos:</t>
  </si>
  <si>
    <t>Codigo</t>
  </si>
  <si>
    <t>Con la función buscarv traer de la planilla de notas los datos  que pide el informe de notas y validarlo con eserror y esblanco()</t>
  </si>
  <si>
    <t>El codigo solo debe aceptar texto de 1 a 11 Caracteres</t>
  </si>
  <si>
    <t>El nombre de los estudiantes solo debe aceptar texto de 1 a 40 Caracteres</t>
  </si>
  <si>
    <t>Las notas de los estudiantes debe tener formato de decimal entre 0 y 5</t>
  </si>
  <si>
    <t>Universidad de la vida</t>
  </si>
  <si>
    <t xml:space="preserve">PERIODO 2-2018 </t>
  </si>
  <si>
    <t>PERIODO 2-2018</t>
  </si>
  <si>
    <t>II parcial</t>
  </si>
  <si>
    <t>APROBO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</si>
</sst>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4" fillId="4" borderId="8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4" fillId="5" borderId="0" xfId="0" applyFont="1" applyFill="1"/>
    <xf numFmtId="0" fontId="10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372485</xdr:colOff>
      <xdr:row>0</xdr:row>
      <xdr:rowOff>136023</xdr:rowOff>
    </xdr:from>
    <xdr:ext cx="6627392" cy="937629"/>
    <xdr:sp macro="" textlink="">
      <xdr:nvSpPr>
        <xdr:cNvPr id="4" name="Rectángulo 3"/>
        <xdr:cNvSpPr/>
      </xdr:nvSpPr>
      <xdr:spPr>
        <a:xfrm>
          <a:off x="372485" y="136023"/>
          <a:ext cx="66273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Universidad de la Vida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1</xdr:row>
      <xdr:rowOff>76200</xdr:rowOff>
    </xdr:from>
    <xdr:ext cx="6627392" cy="937629"/>
    <xdr:sp macro="" textlink="">
      <xdr:nvSpPr>
        <xdr:cNvPr id="4" name="Rectángulo 3"/>
        <xdr:cNvSpPr/>
      </xdr:nvSpPr>
      <xdr:spPr>
        <a:xfrm>
          <a:off x="3952875" y="276225"/>
          <a:ext cx="66273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Universidad de la Vida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W34"/>
  <sheetViews>
    <sheetView topLeftCell="A6" workbookViewId="0">
      <selection activeCell="C21" sqref="C21"/>
    </sheetView>
  </sheetViews>
  <sheetFormatPr defaultColWidth="11.42578125" defaultRowHeight="15.75" x14ac:dyDescent="0.25"/>
  <cols>
    <col min="1" max="1" width="11.855468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7" spans="1:23" ht="21" x14ac:dyDescent="0.35">
      <c r="Q7" s="26" t="s">
        <v>45</v>
      </c>
    </row>
    <row r="8" spans="1:23" ht="16.5" thickBot="1" x14ac:dyDescent="0.3">
      <c r="Q8" s="25" t="s">
        <v>48</v>
      </c>
      <c r="R8" s="25"/>
      <c r="S8" s="25"/>
      <c r="T8" s="25"/>
      <c r="U8" s="25"/>
      <c r="V8" s="25"/>
      <c r="W8" s="25"/>
    </row>
    <row r="9" spans="1:23" ht="15.75" customHeight="1" x14ac:dyDescent="0.25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Q9" s="25" t="s">
        <v>49</v>
      </c>
      <c r="R9" s="25"/>
      <c r="S9" s="25"/>
      <c r="T9" s="25"/>
      <c r="U9" s="25"/>
      <c r="V9" s="25"/>
      <c r="W9" s="25"/>
    </row>
    <row r="10" spans="1:23" ht="15.75" customHeight="1" thickBot="1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Q10" s="25" t="s">
        <v>50</v>
      </c>
      <c r="R10" s="25"/>
      <c r="S10" s="25"/>
      <c r="T10" s="25"/>
      <c r="U10" s="25"/>
      <c r="V10" s="25"/>
      <c r="W10" s="25"/>
    </row>
    <row r="11" spans="1:23" ht="14.25" customHeight="1" thickBot="1" x14ac:dyDescent="0.3">
      <c r="A11" s="31" t="s">
        <v>53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23" ht="15.75" customHeight="1" thickTop="1" thickBot="1" x14ac:dyDescent="0.3">
      <c r="A12" s="23"/>
      <c r="B12" s="23"/>
      <c r="C12" s="32">
        <v>0.3</v>
      </c>
      <c r="D12" s="32"/>
      <c r="E12" s="32"/>
      <c r="F12" s="32"/>
      <c r="G12" s="32"/>
      <c r="H12" s="32"/>
      <c r="I12" s="32"/>
      <c r="J12" s="32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23" ht="15.75" customHeight="1" thickTop="1" thickBot="1" x14ac:dyDescent="0.3">
      <c r="A13" s="24" t="s">
        <v>46</v>
      </c>
      <c r="B13" s="24" t="s">
        <v>30</v>
      </c>
      <c r="C13" s="33" t="s">
        <v>27</v>
      </c>
      <c r="D13" s="33"/>
      <c r="E13" s="33"/>
      <c r="F13" s="33"/>
      <c r="G13" s="33"/>
      <c r="H13" s="33"/>
      <c r="I13" s="33"/>
      <c r="J13" s="33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23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23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23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sheetProtection algorithmName="SHA-512" hashValue="kipWAt9TwHnHioh+YPMO3XWIVMMwQxvwG78D5l0WFdvXElaf5ADi6vmGURlUgxwf8hkTOfSr5TA7ezK7gs6e0g==" saltValue="LBGMNqsWDsUsWA3uma5aRw==" spinCount="100000" sheet="1" objects="1" scenarios="1"/>
  <mergeCells count="4">
    <mergeCell ref="A9:O10"/>
    <mergeCell ref="A11:O11"/>
    <mergeCell ref="C12:J12"/>
    <mergeCell ref="C13:J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X38"/>
  <sheetViews>
    <sheetView tabSelected="1" workbookViewId="0">
      <selection activeCell="F15" sqref="F15"/>
    </sheetView>
  </sheetViews>
  <sheetFormatPr defaultColWidth="11.42578125" defaultRowHeight="15.75" x14ac:dyDescent="0.25"/>
  <cols>
    <col min="1" max="1" width="10.710937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10.5703125" style="1" bestFit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34"/>
    </row>
    <row r="10" spans="1:24" ht="15.75" customHeight="1" thickBot="1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5"/>
    </row>
    <row r="11" spans="1:24" ht="14.25" customHeight="1" thickBot="1" x14ac:dyDescent="0.3">
      <c r="A11" s="31" t="s">
        <v>52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75" customHeight="1" thickTop="1" thickBot="1" x14ac:dyDescent="0.3">
      <c r="A12" s="23"/>
      <c r="B12" s="23"/>
      <c r="C12" s="32"/>
      <c r="D12" s="32"/>
      <c r="E12" s="32"/>
      <c r="F12" s="32"/>
      <c r="G12" s="32"/>
      <c r="H12" s="32"/>
      <c r="I12" s="32"/>
      <c r="J12" s="32"/>
      <c r="K12" s="20"/>
      <c r="L12" s="20"/>
      <c r="N12" s="6" t="s">
        <v>28</v>
      </c>
      <c r="P12" s="7" t="s">
        <v>29</v>
      </c>
      <c r="R12" s="7" t="s">
        <v>29</v>
      </c>
      <c r="T12" s="7" t="s">
        <v>29</v>
      </c>
      <c r="V12" s="7" t="s">
        <v>29</v>
      </c>
      <c r="W12" s="7" t="s">
        <v>29</v>
      </c>
      <c r="X12" s="8" t="s">
        <v>26</v>
      </c>
    </row>
    <row r="13" spans="1:24" ht="15.75" customHeight="1" thickTop="1" thickBot="1" x14ac:dyDescent="0.3">
      <c r="A13" s="24" t="s">
        <v>46</v>
      </c>
      <c r="B13" s="24" t="s">
        <v>30</v>
      </c>
      <c r="C13" s="33" t="s">
        <v>27</v>
      </c>
      <c r="D13" s="33"/>
      <c r="E13" s="33"/>
      <c r="F13" s="33"/>
      <c r="G13" s="33"/>
      <c r="H13" s="33"/>
      <c r="I13" s="33"/>
      <c r="J13" s="33"/>
      <c r="K13" s="18" t="s">
        <v>31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32</v>
      </c>
      <c r="X13" s="8" t="s">
        <v>33</v>
      </c>
    </row>
    <row r="14" spans="1:24" ht="15.75" customHeight="1" thickTop="1" thickBot="1" x14ac:dyDescent="0.3">
      <c r="A14" s="3">
        <v>1</v>
      </c>
      <c r="B14" s="3" t="str">
        <f>VLOOKUP(A14,'Datos Estudiantes'!$A$14:$B$33,2,0)</f>
        <v>ALEJANDRO SEPULVEDA</v>
      </c>
      <c r="C14" s="11">
        <f>VLOOKUP($B$14,'Datos Estudiantes'!B14:J14,2,0)</f>
        <v>4.3</v>
      </c>
      <c r="D14" s="11">
        <f>VLOOKUP($B$14,'Datos Estudiantes'!$B$14:$J$14,3,0)</f>
        <v>1.2</v>
      </c>
      <c r="E14" s="11">
        <f>VLOOKUP($B$14,'Datos Estudiantes'!$B$14:$J$14,4,0)</f>
        <v>2.9</v>
      </c>
      <c r="F14" s="11">
        <f>VLOOKUP($B$14,'Datos Estudiantes'!$B$14:$J$14,5,0)</f>
        <v>4.5</v>
      </c>
      <c r="G14" s="11">
        <f>VLOOKUP($B$14,'Datos Estudiantes'!$B$14:$J$14,6,0)</f>
        <v>4.8</v>
      </c>
      <c r="H14" s="11">
        <f>VLOOKUP($B$14,'Datos Estudiantes'!$B$14:$J$14,7,0)</f>
        <v>3.9</v>
      </c>
      <c r="I14" s="11">
        <f>VLOOKUP($B$14,'Datos Estudiantes'!$B$14:$J$14,8,0)</f>
        <v>4.2</v>
      </c>
      <c r="J14" s="11">
        <f>VLOOKUP($B$14,'Datos Estudiantes'!$B$14:$J$14,9,0)</f>
        <v>4</v>
      </c>
      <c r="K14" s="13">
        <f>AVERAGE(C14:J14)</f>
        <v>3.7249999999999996</v>
      </c>
      <c r="L14" s="13">
        <f t="shared" ref="L14:L20" si="0">K14*$L$13</f>
        <v>1.1174999999999999</v>
      </c>
      <c r="M14" s="11">
        <f>VLOOKUP(B14:B33,'Datos Estudiantes'!$B$14:$K$33,10,0)</f>
        <v>3.8</v>
      </c>
      <c r="N14" s="12">
        <f t="shared" ref="N14:N19" si="1">M14*$N$13</f>
        <v>0.76</v>
      </c>
      <c r="O14" s="11">
        <f>VLOOKUP(B14:B33,'Datos Estudiantes'!$B$14:$L$33,11,0)</f>
        <v>4.3</v>
      </c>
      <c r="P14" s="12">
        <f>O14*$P$13</f>
        <v>0.86</v>
      </c>
      <c r="Q14" s="13">
        <f>VLOOKUP(B14:B33,'Datos Estudiantes'!$B$14:$M$33,12,0)</f>
        <v>3.4</v>
      </c>
      <c r="R14" s="12">
        <f>Q14*$R$13</f>
        <v>0.34</v>
      </c>
      <c r="S14" s="13">
        <f>VLOOKUP(B14:B33,'Datos Estudiantes'!$B$14:$N$33,13,0)</f>
        <v>2.9</v>
      </c>
      <c r="T14" s="12">
        <f>S14*$T$13</f>
        <v>0.28999999999999998</v>
      </c>
      <c r="U14" s="11">
        <f>VLOOKUP(B14:B33,'Datos Estudiantes'!$B$14:$O$33,14,0)</f>
        <v>3.5</v>
      </c>
      <c r="V14" s="12">
        <f>U14*$V$13</f>
        <v>0.35000000000000003</v>
      </c>
      <c r="W14" s="12">
        <f>L14+N14+P14+R14+T14+V14</f>
        <v>3.7174999999999998</v>
      </c>
      <c r="X14" s="21" t="str">
        <f>IF(W14&gt;=3,"APROBO",IF(W14&lt;=2.9,"REPROBO"))</f>
        <v>APROBO</v>
      </c>
    </row>
    <row r="15" spans="1:24" s="2" customFormat="1" ht="17.25" thickTop="1" thickBot="1" x14ac:dyDescent="0.3">
      <c r="A15" s="3">
        <v>2</v>
      </c>
      <c r="B15" s="3" t="str">
        <f>VLOOKUP(A15,'Datos Estudiantes'!$A$14:$B$33,2,0)</f>
        <v>CARLOS JARAMILLO</v>
      </c>
      <c r="C15" s="13">
        <f>VLOOKUP(B15:B33,'Datos Estudiantes'!$B$15:$J$33,2,0)</f>
        <v>4</v>
      </c>
      <c r="D15" s="13">
        <f>VLOOKUP(B15:B33,'Datos Estudiantes'!$B$15:$J$33,3,0)</f>
        <v>4.0999999999999996</v>
      </c>
      <c r="E15" s="13">
        <f>VLOOKUP(B15:B33,'Datos Estudiantes'!$B$15:$J$33,4,0)</f>
        <v>3.8</v>
      </c>
      <c r="F15" s="13">
        <f>VLOOKUP(B15:B33,'Datos Estudiantes'!$B$15:$J$33,5,0)</f>
        <v>2.2000000000000002</v>
      </c>
      <c r="G15" s="13">
        <f>VLOOKUP(B15:B33,'Datos Estudiantes'!$B$15:$J$33,6,0)</f>
        <v>1.9</v>
      </c>
      <c r="H15" s="13">
        <f>VLOOKUP(B15:B33,'Datos Estudiantes'!$B$15:$J$33,7,0)</f>
        <v>3</v>
      </c>
      <c r="I15" s="13">
        <f>VLOOKUP(B15:B33,'Datos Estudiantes'!$B$15:$J$33,8,0)</f>
        <v>4.8</v>
      </c>
      <c r="J15" s="13">
        <f>VLOOKUP(B15:B33,'Datos Estudiantes'!B15:$J$33,9,0)</f>
        <v>5</v>
      </c>
      <c r="K15" s="13">
        <f>AVERAGE(C15:J15)</f>
        <v>3.6</v>
      </c>
      <c r="L15" s="13">
        <f t="shared" si="0"/>
        <v>1.08</v>
      </c>
      <c r="M15" s="11">
        <f>VLOOKUP(B15:B34,'Datos Estudiantes'!$B$14:$K$33,10,0)</f>
        <v>4.5999999999999996</v>
      </c>
      <c r="N15" s="12">
        <f t="shared" si="1"/>
        <v>0.91999999999999993</v>
      </c>
      <c r="O15" s="11">
        <f>VLOOKUP(B15:B34,'Datos Estudiantes'!$B$14:$L$33,11,0)</f>
        <v>3.2</v>
      </c>
      <c r="P15" s="12">
        <f>O15*$P$13</f>
        <v>0.64000000000000012</v>
      </c>
      <c r="Q15" s="13">
        <f>VLOOKUP(B15:B34,'Datos Estudiantes'!$B$14:$M$33,12,0)</f>
        <v>2.5</v>
      </c>
      <c r="R15" s="12">
        <f t="shared" ref="R15:R33" si="2">Q15*$R$13</f>
        <v>0.25</v>
      </c>
      <c r="S15" s="13">
        <f>VLOOKUP(B15:B34,'Datos Estudiantes'!$B$14:$N$33,13,0)</f>
        <v>4.2</v>
      </c>
      <c r="T15" s="12">
        <f t="shared" ref="T15:T33" si="3">S15*$T$13</f>
        <v>0.42000000000000004</v>
      </c>
      <c r="U15" s="11">
        <f>VLOOKUP(B15:B34,'Datos Estudiantes'!$B$14:$O$33,14,0)</f>
        <v>4</v>
      </c>
      <c r="V15" s="12">
        <f t="shared" ref="V15:V33" si="4">U15*$V$13</f>
        <v>0.4</v>
      </c>
      <c r="W15" s="12">
        <f t="shared" ref="W15:W33" si="5">L15+N15+P15+R15+T15+V15</f>
        <v>3.71</v>
      </c>
      <c r="X15" s="21" t="str">
        <f t="shared" ref="X15:X33" si="6">IF(W15&gt;=3,"APROBO",IF(W15&lt;=2.9,"REPROBO"))</f>
        <v>APROBO</v>
      </c>
    </row>
    <row r="16" spans="1:24" s="2" customFormat="1" ht="17.25" thickTop="1" thickBot="1" x14ac:dyDescent="0.3">
      <c r="A16" s="3">
        <v>3</v>
      </c>
      <c r="B16" s="3" t="str">
        <f>VLOOKUP(A16,'Datos Estudiantes'!$A$14:$B$33,2,0)</f>
        <v>CARLOS VERGARA</v>
      </c>
      <c r="C16" s="13">
        <f>VLOOKUP(B16:B34,'Datos Estudiantes'!$B$15:$J$33,2,0)</f>
        <v>4.5</v>
      </c>
      <c r="D16" s="13">
        <f>VLOOKUP(B16:B34,'Datos Estudiantes'!$B$15:$J$33,3,0)</f>
        <v>3.8</v>
      </c>
      <c r="E16" s="13">
        <f>VLOOKUP(B16:B34,'Datos Estudiantes'!$B$15:$J$33,4,0)</f>
        <v>4.2</v>
      </c>
      <c r="F16" s="13">
        <f>VLOOKUP(B16:B34,'Datos Estudiantes'!$B$15:$J$33,5,0)</f>
        <v>4</v>
      </c>
      <c r="G16" s="13">
        <f>VLOOKUP(B16:B34,'Datos Estudiantes'!$B$15:$J$33,6,0)</f>
        <v>5</v>
      </c>
      <c r="H16" s="13">
        <f>VLOOKUP(B16:B34,'Datos Estudiantes'!$B$15:$J$33,7,0)</f>
        <v>5</v>
      </c>
      <c r="I16" s="13">
        <f>VLOOKUP(B16:B34,'Datos Estudiantes'!$B$15:$J$33,8,0)</f>
        <v>5</v>
      </c>
      <c r="J16" s="13">
        <f>VLOOKUP(B16:B34,'Datos Estudiantes'!B16:$J$33,9,0)</f>
        <v>4.8</v>
      </c>
      <c r="K16" s="13">
        <f>AVERAGE(C16:J16)</f>
        <v>4.5374999999999996</v>
      </c>
      <c r="L16" s="13">
        <f t="shared" si="0"/>
        <v>1.3612499999999998</v>
      </c>
      <c r="M16" s="11">
        <f>VLOOKUP(B16:B35,'Datos Estudiantes'!$B$14:$K$33,10,0)</f>
        <v>4.5</v>
      </c>
      <c r="N16" s="12">
        <f t="shared" si="1"/>
        <v>0.9</v>
      </c>
      <c r="O16" s="11">
        <f>VLOOKUP(B16:B35,'Datos Estudiantes'!$B$14:$L$33,11,0)</f>
        <v>4.5999999999999996</v>
      </c>
      <c r="P16" s="12">
        <f>O16*$P$13</f>
        <v>0.91999999999999993</v>
      </c>
      <c r="Q16" s="13">
        <f>VLOOKUP(B16:B35,'Datos Estudiantes'!$B$14:$M$33,12,0)</f>
        <v>3.8</v>
      </c>
      <c r="R16" s="12">
        <f>Q16*$R$13</f>
        <v>0.38</v>
      </c>
      <c r="S16" s="13">
        <f>VLOOKUP(B16:B35,'Datos Estudiantes'!$B$14:$N$33,13,0)</f>
        <v>4.5</v>
      </c>
      <c r="T16" s="12">
        <f>S16*$T$13</f>
        <v>0.45</v>
      </c>
      <c r="U16" s="11">
        <f>VLOOKUP(B16:B35,'Datos Estudiantes'!$B$14:$O$33,14,0)</f>
        <v>4</v>
      </c>
      <c r="V16" s="12">
        <f t="shared" si="4"/>
        <v>0.4</v>
      </c>
      <c r="W16" s="12">
        <f t="shared" si="5"/>
        <v>4.4112499999999999</v>
      </c>
      <c r="X16" s="21" t="str">
        <f t="shared" si="6"/>
        <v>APROBO</v>
      </c>
    </row>
    <row r="17" spans="1:24" ht="17.25" thickTop="1" thickBot="1" x14ac:dyDescent="0.3">
      <c r="A17" s="3">
        <v>4</v>
      </c>
      <c r="B17" s="3" t="str">
        <f>VLOOKUP(A17,'Datos Estudiantes'!$A$14:$B$33,2,0)</f>
        <v>CESAR GUARIN</v>
      </c>
      <c r="C17" s="13">
        <f>VLOOKUP(B17:B35,'Datos Estudiantes'!$B$15:$J$33,2,0)</f>
        <v>3.5</v>
      </c>
      <c r="D17" s="13">
        <f>VLOOKUP(B17:B35,'Datos Estudiantes'!$B$15:$J$33,3,0)</f>
        <v>4</v>
      </c>
      <c r="E17" s="13">
        <f>VLOOKUP(B17:B35,'Datos Estudiantes'!$B$15:$J$33,4,0)</f>
        <v>4.8</v>
      </c>
      <c r="F17" s="13">
        <f>VLOOKUP(B17:B35,'Datos Estudiantes'!$B$15:$J$33,5,0)</f>
        <v>5</v>
      </c>
      <c r="G17" s="13">
        <f>VLOOKUP(B17:B35,'Datos Estudiantes'!$B$15:$J$33,6,0)</f>
        <v>2.5</v>
      </c>
      <c r="H17" s="13">
        <f>VLOOKUP(B17:B35,'Datos Estudiantes'!$B$15:$J$33,7,0)</f>
        <v>3.9</v>
      </c>
      <c r="I17" s="13">
        <f>VLOOKUP(B17:B35,'Datos Estudiantes'!$B$15:$J$33,8,0)</f>
        <v>3.5</v>
      </c>
      <c r="J17" s="13">
        <f>VLOOKUP(B17:B35,'Datos Estudiantes'!B17:$J$33,9,0)</f>
        <v>4.5</v>
      </c>
      <c r="K17" s="13">
        <f>AVERAGE(C17:J17)</f>
        <v>3.9624999999999999</v>
      </c>
      <c r="L17" s="13">
        <f t="shared" si="0"/>
        <v>1.18875</v>
      </c>
      <c r="M17" s="11">
        <f>VLOOKUP(B17:B36,'Datos Estudiantes'!$B$14:$K$33,10,0)</f>
        <v>2.9</v>
      </c>
      <c r="N17" s="12">
        <f t="shared" si="1"/>
        <v>0.57999999999999996</v>
      </c>
      <c r="O17" s="11">
        <f>VLOOKUP(B17:B36,'Datos Estudiantes'!$B$14:$L$33,11,0)</f>
        <v>3</v>
      </c>
      <c r="P17" s="12">
        <f>O17*$P$13</f>
        <v>0.60000000000000009</v>
      </c>
      <c r="Q17" s="13">
        <f>VLOOKUP(B17:B36,'Datos Estudiantes'!$B$14:$M$33,12,0)</f>
        <v>4.5</v>
      </c>
      <c r="R17" s="12">
        <f>Q17*$R$13</f>
        <v>0.45</v>
      </c>
      <c r="S17" s="13">
        <f>VLOOKUP(B17:B36,'Datos Estudiantes'!$B$14:$N$33,13,0)</f>
        <v>1</v>
      </c>
      <c r="T17" s="12">
        <f>S17*$T$13</f>
        <v>0.1</v>
      </c>
      <c r="U17" s="11">
        <f>VLOOKUP(B17:B36,'Datos Estudiantes'!$B$14:$O$33,14,0)</f>
        <v>3.5</v>
      </c>
      <c r="V17" s="12">
        <f t="shared" si="4"/>
        <v>0.35000000000000003</v>
      </c>
      <c r="W17" s="12">
        <f t="shared" si="5"/>
        <v>3.2687500000000003</v>
      </c>
      <c r="X17" s="21" t="str">
        <f t="shared" si="6"/>
        <v>APROBO</v>
      </c>
    </row>
    <row r="18" spans="1:24" ht="17.25" thickTop="1" thickBot="1" x14ac:dyDescent="0.3">
      <c r="A18" s="3">
        <v>5</v>
      </c>
      <c r="B18" s="3" t="str">
        <f>VLOOKUP(A18,'Datos Estudiantes'!$A$14:$B$33,2,0)</f>
        <v>CLAUDIA MONTES</v>
      </c>
      <c r="C18" s="13">
        <f>VLOOKUP(B18:B36,'Datos Estudiantes'!$B$15:$J$33,2,0)</f>
        <v>5</v>
      </c>
      <c r="D18" s="13">
        <f>VLOOKUP(B18:B36,'Datos Estudiantes'!$B$15:$J$33,3,0)</f>
        <v>3.9</v>
      </c>
      <c r="E18" s="13">
        <f>VLOOKUP(B18:B36,'Datos Estudiantes'!$B$15:$J$33,4,0)</f>
        <v>5</v>
      </c>
      <c r="F18" s="13">
        <f>VLOOKUP(B18:B36,'Datos Estudiantes'!$B$15:$J$33,5,0)</f>
        <v>4.8</v>
      </c>
      <c r="G18" s="13">
        <f>VLOOKUP(B18:B36,'Datos Estudiantes'!$B$15:$J$33,6,0)</f>
        <v>4.3</v>
      </c>
      <c r="H18" s="13">
        <f>VLOOKUP(B18:B36,'Datos Estudiantes'!$B$15:$J$33,7,0)</f>
        <v>0</v>
      </c>
      <c r="I18" s="13">
        <f>VLOOKUP(B18:B36,'Datos Estudiantes'!$B$15:$J$33,8,0)</f>
        <v>2.2999999999999998</v>
      </c>
      <c r="J18" s="13">
        <f>VLOOKUP(B18:B36,'Datos Estudiantes'!B18:$J$33,9,0)</f>
        <v>5</v>
      </c>
      <c r="K18" s="13">
        <f>AVERAGE(C18:J18)</f>
        <v>3.7875000000000001</v>
      </c>
      <c r="L18" s="13">
        <f t="shared" si="0"/>
        <v>1.13625</v>
      </c>
      <c r="M18" s="11">
        <f>VLOOKUP(B18:B37,'Datos Estudiantes'!$B$14:$K$33,10,0)</f>
        <v>3.2</v>
      </c>
      <c r="N18" s="12">
        <f t="shared" si="1"/>
        <v>0.64000000000000012</v>
      </c>
      <c r="O18" s="11">
        <f>VLOOKUP(B18:B37,'Datos Estudiantes'!$B$14:$L$33,11,0)</f>
        <v>5</v>
      </c>
      <c r="P18" s="12">
        <f>O18*$P$13</f>
        <v>1</v>
      </c>
      <c r="Q18" s="13">
        <f>VLOOKUP(B18:B37,'Datos Estudiantes'!$B$14:$M$33,12,0)</f>
        <v>4.5</v>
      </c>
      <c r="R18" s="12">
        <f>Q18*$R$13</f>
        <v>0.45</v>
      </c>
      <c r="S18" s="13">
        <f>VLOOKUP(B18:B37,'Datos Estudiantes'!$B$14:$N$33,13,0)</f>
        <v>5</v>
      </c>
      <c r="T18" s="12">
        <f>S18*$T$13</f>
        <v>0.5</v>
      </c>
      <c r="U18" s="11">
        <f>VLOOKUP(B18:B37,'Datos Estudiantes'!$B$14:$O$33,14,0)</f>
        <v>3</v>
      </c>
      <c r="V18" s="12">
        <f t="shared" si="4"/>
        <v>0.30000000000000004</v>
      </c>
      <c r="W18" s="12">
        <f t="shared" si="5"/>
        <v>4.0262500000000001</v>
      </c>
      <c r="X18" s="21" t="str">
        <f t="shared" si="6"/>
        <v>APROBO</v>
      </c>
    </row>
    <row r="19" spans="1:24" ht="17.25" thickTop="1" thickBot="1" x14ac:dyDescent="0.3">
      <c r="A19" s="3">
        <v>6</v>
      </c>
      <c r="B19" s="3" t="str">
        <f>VLOOKUP(A19,'Datos Estudiantes'!$A$14:$B$33,2,0)</f>
        <v>DEISY BUSTAMANTE</v>
      </c>
      <c r="C19" s="13">
        <f>VLOOKUP(B19:B37,'Datos Estudiantes'!$B$15:$J$33,2,0)</f>
        <v>3.2</v>
      </c>
      <c r="D19" s="13">
        <f>VLOOKUP(B19:B37,'Datos Estudiantes'!$B$15:$J$33,3,0)</f>
        <v>2.4</v>
      </c>
      <c r="E19" s="13">
        <f>VLOOKUP(B19:B37,'Datos Estudiantes'!$B$15:$J$33,4,0)</f>
        <v>3.5</v>
      </c>
      <c r="F19" s="13">
        <f>VLOOKUP(B19:B37,'Datos Estudiantes'!$B$15:$J$33,5,0)</f>
        <v>4.5</v>
      </c>
      <c r="G19" s="13">
        <f>VLOOKUP(B19:B37,'Datos Estudiantes'!$B$15:$J$33,6,0)</f>
        <v>4.5</v>
      </c>
      <c r="H19" s="13">
        <f>VLOOKUP(B19:B37,'Datos Estudiantes'!$B$15:$J$33,7,0)</f>
        <v>5</v>
      </c>
      <c r="I19" s="13">
        <f>VLOOKUP(B19:B37,'Datos Estudiantes'!$B$15:$J$33,8,0)</f>
        <v>2.9</v>
      </c>
      <c r="J19" s="13">
        <f>VLOOKUP(B19:B37,'Datos Estudiantes'!B19:$J$33,9,0)</f>
        <v>1</v>
      </c>
      <c r="K19" s="13">
        <f t="shared" ref="K19:K33" si="7">AVERAGE(C19:J19)</f>
        <v>3.375</v>
      </c>
      <c r="L19" s="13">
        <f t="shared" si="0"/>
        <v>1.0125</v>
      </c>
      <c r="M19" s="11">
        <f>VLOOKUP(B19:B38,'Datos Estudiantes'!$B$14:$K$33,10,0)</f>
        <v>4.9000000000000004</v>
      </c>
      <c r="N19" s="12">
        <f t="shared" si="1"/>
        <v>0.98000000000000009</v>
      </c>
      <c r="O19" s="11">
        <f>VLOOKUP(B19:B38,'Datos Estudiantes'!$B$14:$L$33,11,0)</f>
        <v>4.3</v>
      </c>
      <c r="P19" s="12">
        <f t="shared" ref="P19:P33" si="8">O19*$P$13</f>
        <v>0.86</v>
      </c>
      <c r="Q19" s="13">
        <f>VLOOKUP(B19:B38,'Datos Estudiantes'!$B$14:$M$33,12,0)</f>
        <v>4.5</v>
      </c>
      <c r="R19" s="12">
        <f>Q19*$R$13</f>
        <v>0.45</v>
      </c>
      <c r="S19" s="13">
        <f>VLOOKUP(B19:B38,'Datos Estudiantes'!$B$14:$N$33,13,0)</f>
        <v>5</v>
      </c>
      <c r="T19" s="12">
        <f t="shared" si="3"/>
        <v>0.5</v>
      </c>
      <c r="U19" s="11">
        <f>VLOOKUP(B19:B38,'Datos Estudiantes'!$B$14:$O$33,14,0)</f>
        <v>3.5</v>
      </c>
      <c r="V19" s="12">
        <f t="shared" si="4"/>
        <v>0.35000000000000003</v>
      </c>
      <c r="W19" s="12">
        <f t="shared" si="5"/>
        <v>4.1524999999999999</v>
      </c>
      <c r="X19" s="21" t="str">
        <f t="shared" si="6"/>
        <v>APROBO</v>
      </c>
    </row>
    <row r="20" spans="1:24" ht="17.25" thickTop="1" thickBot="1" x14ac:dyDescent="0.3">
      <c r="A20" s="3">
        <v>7</v>
      </c>
      <c r="B20" s="3" t="str">
        <f>VLOOKUP(A20,'Datos Estudiantes'!$A$14:$B$33,2,0)</f>
        <v>DEISY HERRERA</v>
      </c>
      <c r="C20" s="13">
        <f>VLOOKUP(B20:B38,'Datos Estudiantes'!$B$15:$J$33,2,0)</f>
        <v>5</v>
      </c>
      <c r="D20" s="13">
        <f>VLOOKUP(B20:B38,'Datos Estudiantes'!$B$15:$J$33,3,0)</f>
        <v>5</v>
      </c>
      <c r="E20" s="13">
        <f>VLOOKUP(B20:B38,'Datos Estudiantes'!$B$15:$J$33,4,0)</f>
        <v>2.2999999999999998</v>
      </c>
      <c r="F20" s="13">
        <f>VLOOKUP(B20:B38,'Datos Estudiantes'!$B$15:$J$33,5,0)</f>
        <v>5</v>
      </c>
      <c r="G20" s="13">
        <f>VLOOKUP(B20:B38,'Datos Estudiantes'!$B$15:$J$33,6,0)</f>
        <v>3.8</v>
      </c>
      <c r="H20" s="13">
        <f>VLOOKUP(B20:B38,'Datos Estudiantes'!$B$15:$J$33,7,0)</f>
        <v>4.8</v>
      </c>
      <c r="I20" s="13">
        <f>VLOOKUP(B20:B38,'Datos Estudiantes'!$B$15:$J$33,8,0)</f>
        <v>4.5999999999999996</v>
      </c>
      <c r="J20" s="13">
        <f>VLOOKUP(B20:B38,'Datos Estudiantes'!B20:$J$33,9,0)</f>
        <v>4.5</v>
      </c>
      <c r="K20" s="13">
        <f t="shared" si="7"/>
        <v>4.375</v>
      </c>
      <c r="L20" s="13">
        <f t="shared" si="0"/>
        <v>1.3125</v>
      </c>
      <c r="M20" s="11">
        <f>VLOOKUP(B20:B39,'Datos Estudiantes'!$B$14:$K$33,10,0)</f>
        <v>2</v>
      </c>
      <c r="N20" s="12">
        <f t="shared" ref="N20:N33" si="9">M20*$N$13</f>
        <v>0.4</v>
      </c>
      <c r="O20" s="11">
        <f>VLOOKUP(B20:B39,'Datos Estudiantes'!$B$14:$L$33,11,0)</f>
        <v>5</v>
      </c>
      <c r="P20" s="12">
        <f t="shared" si="8"/>
        <v>1</v>
      </c>
      <c r="Q20" s="13">
        <f>VLOOKUP(B20:B39,'Datos Estudiantes'!$B$14:$M$33,12,0)</f>
        <v>3.9</v>
      </c>
      <c r="R20" s="12">
        <f t="shared" si="2"/>
        <v>0.39</v>
      </c>
      <c r="S20" s="13">
        <f>VLOOKUP(B20:B39,'Datos Estudiantes'!$B$14:$N$33,13,0)</f>
        <v>2</v>
      </c>
      <c r="T20" s="12">
        <f t="shared" si="3"/>
        <v>0.2</v>
      </c>
      <c r="U20" s="11">
        <f>VLOOKUP(B20:B39,'Datos Estudiantes'!$B$14:$O$33,14,0)</f>
        <v>4.5</v>
      </c>
      <c r="V20" s="12">
        <f t="shared" si="4"/>
        <v>0.45</v>
      </c>
      <c r="W20" s="12">
        <f t="shared" si="5"/>
        <v>3.7525000000000004</v>
      </c>
      <c r="X20" s="21" t="str">
        <f t="shared" si="6"/>
        <v>APROBO</v>
      </c>
    </row>
    <row r="21" spans="1:24" ht="17.25" thickTop="1" thickBot="1" x14ac:dyDescent="0.3">
      <c r="A21" s="3">
        <v>8</v>
      </c>
      <c r="B21" s="3" t="str">
        <f>VLOOKUP(A21,'Datos Estudiantes'!$A$14:$B$33,2,0)</f>
        <v>DIANA VALENCIA</v>
      </c>
      <c r="C21" s="13">
        <f>VLOOKUP(B21:B39,'Datos Estudiantes'!$B$15:$J$33,2,0)</f>
        <v>2.8</v>
      </c>
      <c r="D21" s="13">
        <f>VLOOKUP(B21:B39,'Datos Estudiantes'!$B$15:$J$33,3,0)</f>
        <v>2.2999999999999998</v>
      </c>
      <c r="E21" s="13">
        <f>VLOOKUP(B21:B39,'Datos Estudiantes'!$B$15:$J$33,4,0)</f>
        <v>2.9</v>
      </c>
      <c r="F21" s="13">
        <f>VLOOKUP(B21:B39,'Datos Estudiantes'!$B$15:$J$33,5,0)</f>
        <v>1.9</v>
      </c>
      <c r="G21" s="13">
        <f>VLOOKUP(B21:B39,'Datos Estudiantes'!$B$15:$J$33,6,0)</f>
        <v>0</v>
      </c>
      <c r="H21" s="13">
        <f>VLOOKUP(B21:B39,'Datos Estudiantes'!$B$15:$J$33,7,0)</f>
        <v>1.6</v>
      </c>
      <c r="I21" s="13">
        <f>VLOOKUP(B21:B39,'Datos Estudiantes'!$B$15:$J$33,8,0)</f>
        <v>1</v>
      </c>
      <c r="J21" s="13">
        <f>VLOOKUP(B21:B39,'Datos Estudiantes'!B21:$J$33,9,0)</f>
        <v>1.8</v>
      </c>
      <c r="K21" s="13">
        <f t="shared" si="7"/>
        <v>1.7875000000000001</v>
      </c>
      <c r="L21" s="13">
        <f t="shared" ref="L21:L33" si="10">K21*$L$13</f>
        <v>0.53625</v>
      </c>
      <c r="M21" s="11">
        <f>VLOOKUP(B21:B40,'Datos Estudiantes'!$B$14:$K$33,10,0)</f>
        <v>3</v>
      </c>
      <c r="N21" s="12">
        <f t="shared" si="9"/>
        <v>0.60000000000000009</v>
      </c>
      <c r="O21" s="11">
        <f>VLOOKUP(B21:B40,'Datos Estudiantes'!$B$14:$L$33,11,0)</f>
        <v>3.9</v>
      </c>
      <c r="P21" s="12">
        <f t="shared" si="8"/>
        <v>0.78</v>
      </c>
      <c r="Q21" s="13">
        <f>VLOOKUP(B21:B40,'Datos Estudiantes'!$B$14:$M$33,12,0)</f>
        <v>3</v>
      </c>
      <c r="R21" s="12">
        <f t="shared" si="2"/>
        <v>0.30000000000000004</v>
      </c>
      <c r="S21" s="13">
        <f>VLOOKUP(B21:B40,'Datos Estudiantes'!$B$14:$N$33,13,0)</f>
        <v>3.5</v>
      </c>
      <c r="T21" s="12">
        <f t="shared" si="3"/>
        <v>0.35000000000000003</v>
      </c>
      <c r="U21" s="11">
        <f>VLOOKUP(B21:B40,'Datos Estudiantes'!$B$14:$O$33,14,0)</f>
        <v>4.2</v>
      </c>
      <c r="V21" s="12">
        <f t="shared" si="4"/>
        <v>0.42000000000000004</v>
      </c>
      <c r="W21" s="12">
        <f t="shared" si="5"/>
        <v>2.9862500000000001</v>
      </c>
      <c r="X21" s="21" t="s">
        <v>55</v>
      </c>
    </row>
    <row r="22" spans="1:24" ht="17.25" thickTop="1" thickBot="1" x14ac:dyDescent="0.3">
      <c r="A22" s="3">
        <v>9</v>
      </c>
      <c r="B22" s="3" t="str">
        <f>VLOOKUP(A22,'Datos Estudiantes'!$A$14:$B$33,2,0)</f>
        <v>DIEGO GONZALEZ</v>
      </c>
      <c r="C22" s="13">
        <f>VLOOKUP(B22:B40,'Datos Estudiantes'!$B$15:$J$33,2,0)</f>
        <v>0</v>
      </c>
      <c r="D22" s="13">
        <f>VLOOKUP(B22:B40,'Datos Estudiantes'!$B$15:$J$33,3,0)</f>
        <v>3.9</v>
      </c>
      <c r="E22" s="13">
        <f>VLOOKUP(B22:B40,'Datos Estudiantes'!$B$15:$J$33,4,0)</f>
        <v>4.2</v>
      </c>
      <c r="F22" s="13">
        <f>VLOOKUP(B22:B40,'Datos Estudiantes'!$B$15:$J$33,5,0)</f>
        <v>4</v>
      </c>
      <c r="G22" s="13">
        <f>VLOOKUP(B22:B40,'Datos Estudiantes'!$B$15:$J$33,6,0)</f>
        <v>1</v>
      </c>
      <c r="H22" s="13">
        <f>VLOOKUP(B22:B40,'Datos Estudiantes'!$B$15:$J$33,7,0)</f>
        <v>5</v>
      </c>
      <c r="I22" s="13">
        <f>VLOOKUP(B22:B40,'Datos Estudiantes'!$B$15:$J$33,8,0)</f>
        <v>3.2</v>
      </c>
      <c r="J22" s="13">
        <f>VLOOKUP(B22:B40,'Datos Estudiantes'!B22:$J$33,9,0)</f>
        <v>2.5</v>
      </c>
      <c r="K22" s="13">
        <f t="shared" si="7"/>
        <v>2.9750000000000001</v>
      </c>
      <c r="L22" s="13">
        <f t="shared" si="10"/>
        <v>0.89249999999999996</v>
      </c>
      <c r="M22" s="11">
        <f>VLOOKUP(B22:B41,'Datos Estudiantes'!$B$14:$K$33,10,0)</f>
        <v>2.5</v>
      </c>
      <c r="N22" s="12">
        <f t="shared" si="9"/>
        <v>0.5</v>
      </c>
      <c r="O22" s="11">
        <f>VLOOKUP(B22:B41,'Datos Estudiantes'!$B$14:$L$33,11,0)</f>
        <v>1.3</v>
      </c>
      <c r="P22" s="12">
        <f t="shared" si="8"/>
        <v>0.26</v>
      </c>
      <c r="Q22" s="13">
        <f>VLOOKUP(B22:B41,'Datos Estudiantes'!$B$14:$M$33,12,0)</f>
        <v>3.1</v>
      </c>
      <c r="R22" s="12">
        <f t="shared" si="2"/>
        <v>0.31000000000000005</v>
      </c>
      <c r="S22" s="13">
        <f>VLOOKUP(B22:B41,'Datos Estudiantes'!$B$14:$N$33,13,0)</f>
        <v>2.2999999999999998</v>
      </c>
      <c r="T22" s="12">
        <f t="shared" si="3"/>
        <v>0.22999999999999998</v>
      </c>
      <c r="U22" s="11">
        <f>VLOOKUP(B22:B41,'Datos Estudiantes'!$B$14:$O$33,14,0)</f>
        <v>2.2000000000000002</v>
      </c>
      <c r="V22" s="12">
        <f t="shared" si="4"/>
        <v>0.22000000000000003</v>
      </c>
      <c r="W22" s="12">
        <f t="shared" si="5"/>
        <v>2.4125000000000001</v>
      </c>
      <c r="X22" s="21" t="str">
        <f t="shared" si="6"/>
        <v>REPROBO</v>
      </c>
    </row>
    <row r="23" spans="1:24" ht="17.25" thickTop="1" thickBot="1" x14ac:dyDescent="0.3">
      <c r="A23" s="3">
        <v>10</v>
      </c>
      <c r="B23" s="3" t="str">
        <f>VLOOKUP(A23,'Datos Estudiantes'!$A$14:$B$33,2,0)</f>
        <v>ELEANY TRUJILLO</v>
      </c>
      <c r="C23" s="13">
        <f>VLOOKUP(B23:B41,'Datos Estudiantes'!$B$15:$J$33,2,0)</f>
        <v>3</v>
      </c>
      <c r="D23" s="13">
        <f>VLOOKUP(B23:B41,'Datos Estudiantes'!$B$15:$J$33,3,0)</f>
        <v>4.9000000000000004</v>
      </c>
      <c r="E23" s="13">
        <f>VLOOKUP(B23:B41,'Datos Estudiantes'!$B$15:$J$33,4,0)</f>
        <v>4.5</v>
      </c>
      <c r="F23" s="13">
        <f>VLOOKUP(B23:B41,'Datos Estudiantes'!$B$15:$J$33,5,0)</f>
        <v>5</v>
      </c>
      <c r="G23" s="13">
        <f>VLOOKUP(B23:B41,'Datos Estudiantes'!$B$15:$J$33,6,0)</f>
        <v>3.5</v>
      </c>
      <c r="H23" s="13">
        <f>VLOOKUP(B23:B41,'Datos Estudiantes'!$B$15:$J$33,7,0)</f>
        <v>4.3</v>
      </c>
      <c r="I23" s="13">
        <f>VLOOKUP(B23:B41,'Datos Estudiantes'!$B$15:$J$33,8,0)</f>
        <v>5</v>
      </c>
      <c r="J23" s="13">
        <f>VLOOKUP(B23:B41,'Datos Estudiantes'!B23:$J$33,9,0)</f>
        <v>4.8</v>
      </c>
      <c r="K23" s="13">
        <f t="shared" si="7"/>
        <v>4.375</v>
      </c>
      <c r="L23" s="13">
        <f t="shared" si="10"/>
        <v>1.3125</v>
      </c>
      <c r="M23" s="11">
        <f>VLOOKUP(B23:B42,'Datos Estudiantes'!$B$14:$K$33,10,0)</f>
        <v>3.8</v>
      </c>
      <c r="N23" s="12">
        <f t="shared" si="9"/>
        <v>0.76</v>
      </c>
      <c r="O23" s="11">
        <f>VLOOKUP(B23:B42,'Datos Estudiantes'!$B$14:$L$33,11,0)</f>
        <v>5</v>
      </c>
      <c r="P23" s="12">
        <f t="shared" si="8"/>
        <v>1</v>
      </c>
      <c r="Q23" s="13">
        <f>VLOOKUP(B23:B42,'Datos Estudiantes'!$B$14:$M$33,12,0)</f>
        <v>5</v>
      </c>
      <c r="R23" s="12">
        <f t="shared" si="2"/>
        <v>0.5</v>
      </c>
      <c r="S23" s="13">
        <f>VLOOKUP(B23:B42,'Datos Estudiantes'!$B$14:$N$33,13,0)</f>
        <v>4.8</v>
      </c>
      <c r="T23" s="12">
        <f t="shared" si="3"/>
        <v>0.48</v>
      </c>
      <c r="U23" s="11">
        <f>VLOOKUP(B23:B42,'Datos Estudiantes'!$B$14:$O$33,14,0)</f>
        <v>4.5</v>
      </c>
      <c r="V23" s="12">
        <f t="shared" si="4"/>
        <v>0.45</v>
      </c>
      <c r="W23" s="12">
        <f t="shared" si="5"/>
        <v>4.5025000000000004</v>
      </c>
      <c r="X23" s="21" t="str">
        <f t="shared" si="6"/>
        <v>APROBO</v>
      </c>
    </row>
    <row r="24" spans="1:24" ht="17.25" thickTop="1" thickBot="1" x14ac:dyDescent="0.3">
      <c r="A24" s="3">
        <v>11</v>
      </c>
      <c r="B24" s="3" t="str">
        <f>VLOOKUP(A24,'Datos Estudiantes'!$A$14:$B$33,2,0)</f>
        <v>FREDY MONTES</v>
      </c>
      <c r="C24" s="13">
        <f>VLOOKUP(B24:B42,'Datos Estudiantes'!$B$15:$J$33,2,0)</f>
        <v>0.9</v>
      </c>
      <c r="D24" s="13">
        <f>VLOOKUP(B24:B42,'Datos Estudiantes'!$B$15:$J$33,3,0)</f>
        <v>4.8</v>
      </c>
      <c r="E24" s="13">
        <f>VLOOKUP(B24:B42,'Datos Estudiantes'!$B$15:$J$33,4,0)</f>
        <v>4.9000000000000004</v>
      </c>
      <c r="F24" s="13">
        <f>VLOOKUP(B24:B42,'Datos Estudiantes'!$B$15:$J$33,5,0)</f>
        <v>3.6</v>
      </c>
      <c r="G24" s="13">
        <f>VLOOKUP(B24:B42,'Datos Estudiantes'!$B$15:$J$33,6,0)</f>
        <v>5</v>
      </c>
      <c r="H24" s="13">
        <f>VLOOKUP(B24:B42,'Datos Estudiantes'!$B$15:$J$33,7,0)</f>
        <v>3.5</v>
      </c>
      <c r="I24" s="13">
        <f>VLOOKUP(B24:B42,'Datos Estudiantes'!$B$15:$J$33,8,0)</f>
        <v>4.8</v>
      </c>
      <c r="J24" s="13">
        <f>VLOOKUP(B24:B42,'Datos Estudiantes'!B24:$J$33,9,0)</f>
        <v>4.5999999999999996</v>
      </c>
      <c r="K24" s="13">
        <f t="shared" si="7"/>
        <v>4.0125000000000002</v>
      </c>
      <c r="L24" s="13">
        <f t="shared" si="10"/>
        <v>1.2037500000000001</v>
      </c>
      <c r="M24" s="11">
        <f>VLOOKUP(B24:B43,'Datos Estudiantes'!$B$14:$K$33,10,0)</f>
        <v>4.5</v>
      </c>
      <c r="N24" s="12">
        <f t="shared" si="9"/>
        <v>0.9</v>
      </c>
      <c r="O24" s="11">
        <f>VLOOKUP(B24:B43,'Datos Estudiantes'!$B$14:$L$33,11,0)</f>
        <v>5</v>
      </c>
      <c r="P24" s="12">
        <f t="shared" si="8"/>
        <v>1</v>
      </c>
      <c r="Q24" s="13">
        <f>VLOOKUP(B24:B43,'Datos Estudiantes'!$B$14:$M$33,12,0)</f>
        <v>4.3</v>
      </c>
      <c r="R24" s="12">
        <f t="shared" si="2"/>
        <v>0.43</v>
      </c>
      <c r="S24" s="13">
        <f>VLOOKUP(B24:B43,'Datos Estudiantes'!$B$14:$N$33,13,0)</f>
        <v>4.5999999999999996</v>
      </c>
      <c r="T24" s="12">
        <f t="shared" si="3"/>
        <v>0.45999999999999996</v>
      </c>
      <c r="U24" s="11">
        <f>VLOOKUP(B24:B43,'Datos Estudiantes'!$B$14:$O$33,14,0)</f>
        <v>3</v>
      </c>
      <c r="V24" s="12">
        <f t="shared" si="4"/>
        <v>0.30000000000000004</v>
      </c>
      <c r="W24" s="12">
        <f t="shared" si="5"/>
        <v>4.2937500000000002</v>
      </c>
      <c r="X24" s="21" t="str">
        <f t="shared" si="6"/>
        <v>APROBO</v>
      </c>
    </row>
    <row r="25" spans="1:24" ht="17.25" thickTop="1" thickBot="1" x14ac:dyDescent="0.3">
      <c r="A25" s="3">
        <v>12</v>
      </c>
      <c r="B25" s="3" t="str">
        <f>VLOOKUP(A25,'Datos Estudiantes'!$A$14:$B$33,2,0)</f>
        <v>JHON TOBON</v>
      </c>
      <c r="C25" s="13">
        <f>VLOOKUP(B25:B43,'Datos Estudiantes'!$B$15:$J$33,2,0)</f>
        <v>1.2</v>
      </c>
      <c r="D25" s="13">
        <f>VLOOKUP(B25:B43,'Datos Estudiantes'!$B$15:$J$33,3,0)</f>
        <v>2.6</v>
      </c>
      <c r="E25" s="13">
        <f>VLOOKUP(B25:B43,'Datos Estudiantes'!$B$15:$J$33,4,0)</f>
        <v>5</v>
      </c>
      <c r="F25" s="13">
        <f>VLOOKUP(B25:B43,'Datos Estudiantes'!$B$15:$J$33,5,0)</f>
        <v>4.5</v>
      </c>
      <c r="G25" s="13">
        <f>VLOOKUP(B25:B43,'Datos Estudiantes'!$B$15:$J$33,6,0)</f>
        <v>5</v>
      </c>
      <c r="H25" s="13">
        <f>VLOOKUP(B25:B43,'Datos Estudiantes'!$B$15:$J$33,7,0)</f>
        <v>4.0999999999999996</v>
      </c>
      <c r="I25" s="13">
        <f>VLOOKUP(B25:B43,'Datos Estudiantes'!$B$15:$J$33,8,0)</f>
        <v>3.8</v>
      </c>
      <c r="J25" s="13">
        <f>VLOOKUP(B25:B43,'Datos Estudiantes'!B25:$J$33,9,0)</f>
        <v>2.2000000000000002</v>
      </c>
      <c r="K25" s="13">
        <f t="shared" si="7"/>
        <v>3.55</v>
      </c>
      <c r="L25" s="13">
        <f t="shared" si="10"/>
        <v>1.0649999999999999</v>
      </c>
      <c r="M25" s="11">
        <f>VLOOKUP(B25:B44,'Datos Estudiantes'!$B$14:$K$33,10,0)</f>
        <v>4.5</v>
      </c>
      <c r="N25" s="12">
        <f t="shared" si="9"/>
        <v>0.9</v>
      </c>
      <c r="O25" s="11">
        <f>VLOOKUP(B25:B44,'Datos Estudiantes'!$B$14:$L$33,11,0)</f>
        <v>4</v>
      </c>
      <c r="P25" s="12">
        <f t="shared" si="8"/>
        <v>0.8</v>
      </c>
      <c r="Q25" s="13">
        <f>VLOOKUP(B25:B44,'Datos Estudiantes'!$B$14:$M$33,12,0)</f>
        <v>3.5</v>
      </c>
      <c r="R25" s="12">
        <f t="shared" si="2"/>
        <v>0.35000000000000003</v>
      </c>
      <c r="S25" s="13">
        <f>VLOOKUP(B25:B44,'Datos Estudiantes'!$B$14:$N$33,13,0)</f>
        <v>4.8</v>
      </c>
      <c r="T25" s="12">
        <f t="shared" si="3"/>
        <v>0.48</v>
      </c>
      <c r="U25" s="11">
        <f>VLOOKUP(B25:B44,'Datos Estudiantes'!$B$14:$O$33,14,0)</f>
        <v>4.3</v>
      </c>
      <c r="V25" s="12">
        <f t="shared" si="4"/>
        <v>0.43</v>
      </c>
      <c r="W25" s="12">
        <f t="shared" si="5"/>
        <v>4.0249999999999995</v>
      </c>
      <c r="X25" s="21" t="str">
        <f t="shared" si="6"/>
        <v>APROBO</v>
      </c>
    </row>
    <row r="26" spans="1:24" ht="17.25" thickTop="1" thickBot="1" x14ac:dyDescent="0.3">
      <c r="A26" s="3">
        <v>13</v>
      </c>
      <c r="B26" s="3" t="str">
        <f>VLOOKUP(A26,'Datos Estudiantes'!$A$14:$B$33,2,0)</f>
        <v>JOSE CIFUENTES</v>
      </c>
      <c r="C26" s="13">
        <f>VLOOKUP(B26:B44,'Datos Estudiantes'!$B$15:$J$33,2,0)</f>
        <v>5</v>
      </c>
      <c r="D26" s="13">
        <f>VLOOKUP(B26:B44,'Datos Estudiantes'!$B$15:$J$33,3,0)</f>
        <v>5</v>
      </c>
      <c r="E26" s="13">
        <f>VLOOKUP(B26:B44,'Datos Estudiantes'!$B$15:$J$33,4,0)</f>
        <v>5</v>
      </c>
      <c r="F26" s="13">
        <f>VLOOKUP(B26:B44,'Datos Estudiantes'!$B$15:$J$33,5,0)</f>
        <v>2.9</v>
      </c>
      <c r="G26" s="13">
        <f>VLOOKUP(B26:B44,'Datos Estudiantes'!$B$15:$J$33,6,0)</f>
        <v>5</v>
      </c>
      <c r="H26" s="13">
        <f>VLOOKUP(B26:B44,'Datos Estudiantes'!$B$15:$J$33,7,0)</f>
        <v>3.8</v>
      </c>
      <c r="I26" s="13">
        <f>VLOOKUP(B26:B44,'Datos Estudiantes'!$B$15:$J$33,8,0)</f>
        <v>4.2</v>
      </c>
      <c r="J26" s="13">
        <f>VLOOKUP(B26:B44,'Datos Estudiantes'!B26:$J$33,9,0)</f>
        <v>4</v>
      </c>
      <c r="K26" s="13">
        <f t="shared" si="7"/>
        <v>4.3624999999999998</v>
      </c>
      <c r="L26" s="13">
        <f t="shared" si="10"/>
        <v>1.3087499999999999</v>
      </c>
      <c r="M26" s="11">
        <f>VLOOKUP(B26:B45,'Datos Estudiantes'!$B$14:$K$33,10,0)</f>
        <v>4.5</v>
      </c>
      <c r="N26" s="12">
        <f t="shared" si="9"/>
        <v>0.9</v>
      </c>
      <c r="O26" s="11">
        <f>VLOOKUP(B26:B45,'Datos Estudiantes'!$B$14:$L$33,11,0)</f>
        <v>4</v>
      </c>
      <c r="P26" s="12">
        <f t="shared" si="8"/>
        <v>0.8</v>
      </c>
      <c r="Q26" s="13">
        <f>VLOOKUP(B26:B45,'Datos Estudiantes'!$B$14:$M$33,12,0)</f>
        <v>4.0999999999999996</v>
      </c>
      <c r="R26" s="12">
        <f t="shared" si="2"/>
        <v>0.41</v>
      </c>
      <c r="S26" s="13">
        <f>VLOOKUP(B26:B45,'Datos Estudiantes'!$B$14:$N$33,13,0)</f>
        <v>3.1</v>
      </c>
      <c r="T26" s="12">
        <f t="shared" si="3"/>
        <v>0.31000000000000005</v>
      </c>
      <c r="U26" s="11">
        <f>VLOOKUP(B26:B45,'Datos Estudiantes'!$B$14:$O$33,14,0)</f>
        <v>4.5</v>
      </c>
      <c r="V26" s="12">
        <f t="shared" si="4"/>
        <v>0.45</v>
      </c>
      <c r="W26" s="12">
        <f t="shared" si="5"/>
        <v>4.17875</v>
      </c>
      <c r="X26" s="21" t="str">
        <f t="shared" si="6"/>
        <v>APROBO</v>
      </c>
    </row>
    <row r="27" spans="1:24" ht="17.25" thickTop="1" thickBot="1" x14ac:dyDescent="0.3">
      <c r="A27" s="3">
        <v>14</v>
      </c>
      <c r="B27" s="3" t="str">
        <f>VLOOKUP(A27,'Datos Estudiantes'!$A$14:$B$33,2,0)</f>
        <v>JOSE DAVID VERGARA</v>
      </c>
      <c r="C27" s="13">
        <f>VLOOKUP(B27:B45,'Datos Estudiantes'!$B$15:$J$33,2,0)</f>
        <v>5</v>
      </c>
      <c r="D27" s="13">
        <f>VLOOKUP(B27:B45,'Datos Estudiantes'!$B$15:$J$33,3,0)</f>
        <v>4.5</v>
      </c>
      <c r="E27" s="13">
        <f>VLOOKUP(B27:B45,'Datos Estudiantes'!$B$15:$J$33,4,0)</f>
        <v>5</v>
      </c>
      <c r="F27" s="13">
        <f>VLOOKUP(B27:B45,'Datos Estudiantes'!$B$15:$J$33,5,0)</f>
        <v>3.2</v>
      </c>
      <c r="G27" s="13">
        <f>VLOOKUP(B27:B45,'Datos Estudiantes'!$B$15:$J$33,6,0)</f>
        <v>4.5</v>
      </c>
      <c r="H27" s="13">
        <f>VLOOKUP(B27:B45,'Datos Estudiantes'!$B$15:$J$33,7,0)</f>
        <v>4</v>
      </c>
      <c r="I27" s="13">
        <f>VLOOKUP(B27:B45,'Datos Estudiantes'!$B$15:$J$33,8,0)</f>
        <v>4.8</v>
      </c>
      <c r="J27" s="13">
        <f>VLOOKUP(B27:B45,'Datos Estudiantes'!B27:$J$33,9,0)</f>
        <v>5</v>
      </c>
      <c r="K27" s="13">
        <f t="shared" si="7"/>
        <v>4.5</v>
      </c>
      <c r="L27" s="13">
        <f t="shared" si="10"/>
        <v>1.3499999999999999</v>
      </c>
      <c r="M27" s="11">
        <f>VLOOKUP(B27:B46,'Datos Estudiantes'!$B$14:$K$33,10,0)</f>
        <v>3.9</v>
      </c>
      <c r="N27" s="12">
        <f t="shared" si="9"/>
        <v>0.78</v>
      </c>
      <c r="O27" s="11">
        <f>VLOOKUP(B27:B46,'Datos Estudiantes'!$B$14:$L$33,11,0)</f>
        <v>3.6</v>
      </c>
      <c r="P27" s="12">
        <f t="shared" si="8"/>
        <v>0.72000000000000008</v>
      </c>
      <c r="Q27" s="13">
        <f>VLOOKUP(B27:B46,'Datos Estudiantes'!$B$14:$M$33,12,0)</f>
        <v>3.8</v>
      </c>
      <c r="R27" s="12">
        <f t="shared" si="2"/>
        <v>0.38</v>
      </c>
      <c r="S27" s="13">
        <f>VLOOKUP(B27:B46,'Datos Estudiantes'!$B$14:$N$33,13,0)</f>
        <v>5</v>
      </c>
      <c r="T27" s="12">
        <f t="shared" si="3"/>
        <v>0.5</v>
      </c>
      <c r="U27" s="11">
        <f>VLOOKUP(B27:B46,'Datos Estudiantes'!$B$14:$O$33,14,0)</f>
        <v>3</v>
      </c>
      <c r="V27" s="12">
        <f t="shared" si="4"/>
        <v>0.30000000000000004</v>
      </c>
      <c r="W27" s="12">
        <f t="shared" si="5"/>
        <v>4.03</v>
      </c>
      <c r="X27" s="21" t="str">
        <f t="shared" si="6"/>
        <v>APROBO</v>
      </c>
    </row>
    <row r="28" spans="1:24" ht="17.25" thickTop="1" thickBot="1" x14ac:dyDescent="0.3">
      <c r="A28" s="3">
        <v>15</v>
      </c>
      <c r="B28" s="3" t="str">
        <f>VLOOKUP(A28,'Datos Estudiantes'!$A$14:$B$33,2,0)</f>
        <v>LAURA GONZALEZ</v>
      </c>
      <c r="C28" s="13">
        <f>VLOOKUP(B28:B46,'Datos Estudiantes'!$B$15:$J$33,2,0)</f>
        <v>5</v>
      </c>
      <c r="D28" s="13">
        <f>VLOOKUP(B28:B46,'Datos Estudiantes'!$B$15:$J$33,3,0)</f>
        <v>4.2</v>
      </c>
      <c r="E28" s="13">
        <f>VLOOKUP(B28:B46,'Datos Estudiantes'!$B$15:$J$33,4,0)</f>
        <v>4.5</v>
      </c>
      <c r="F28" s="13">
        <f>VLOOKUP(B28:B46,'Datos Estudiantes'!$B$15:$J$33,5,0)</f>
        <v>2.5</v>
      </c>
      <c r="G28" s="13">
        <f>VLOOKUP(B28:B46,'Datos Estudiantes'!$B$15:$J$33,6,0)</f>
        <v>5</v>
      </c>
      <c r="H28" s="13">
        <f>VLOOKUP(B28:B46,'Datos Estudiantes'!$B$15:$J$33,7,0)</f>
        <v>3.9</v>
      </c>
      <c r="I28" s="13">
        <f>VLOOKUP(B28:B46,'Datos Estudiantes'!$B$15:$J$33,8,0)</f>
        <v>5</v>
      </c>
      <c r="J28" s="13">
        <f>VLOOKUP(B28:B46,'Datos Estudiantes'!B28:$J$33,9,0)</f>
        <v>4.8</v>
      </c>
      <c r="K28" s="13">
        <f t="shared" si="7"/>
        <v>4.3624999999999998</v>
      </c>
      <c r="L28" s="13">
        <f t="shared" si="10"/>
        <v>1.3087499999999999</v>
      </c>
      <c r="M28" s="11">
        <f>VLOOKUP(B28:B47,'Datos Estudiantes'!$B$14:$K$33,10,0)</f>
        <v>0</v>
      </c>
      <c r="N28" s="12">
        <f t="shared" si="9"/>
        <v>0</v>
      </c>
      <c r="O28" s="11">
        <f>VLOOKUP(B28:B47,'Datos Estudiantes'!$B$14:$L$33,11,0)</f>
        <v>3.1</v>
      </c>
      <c r="P28" s="12">
        <f t="shared" si="8"/>
        <v>0.62000000000000011</v>
      </c>
      <c r="Q28" s="13">
        <f>VLOOKUP(B28:B47,'Datos Estudiantes'!$B$14:$M$33,12,0)</f>
        <v>4</v>
      </c>
      <c r="R28" s="12">
        <f t="shared" si="2"/>
        <v>0.4</v>
      </c>
      <c r="S28" s="13">
        <f>VLOOKUP(B28:B47,'Datos Estudiantes'!$B$14:$N$33,13,0)</f>
        <v>4.3</v>
      </c>
      <c r="T28" s="12">
        <f t="shared" si="3"/>
        <v>0.43</v>
      </c>
      <c r="U28" s="11">
        <f>VLOOKUP(B28:B47,'Datos Estudiantes'!$B$14:$O$33,14,0)</f>
        <v>4</v>
      </c>
      <c r="V28" s="12">
        <f t="shared" si="4"/>
        <v>0.4</v>
      </c>
      <c r="W28" s="12">
        <f t="shared" si="5"/>
        <v>3.1587499999999999</v>
      </c>
      <c r="X28" s="21" t="str">
        <f t="shared" si="6"/>
        <v>APROBO</v>
      </c>
    </row>
    <row r="29" spans="1:24" ht="17.25" thickTop="1" thickBot="1" x14ac:dyDescent="0.3">
      <c r="A29" s="3">
        <v>16</v>
      </c>
      <c r="B29" s="3" t="str">
        <f>VLOOKUP(A29,'Datos Estudiantes'!$A$14:$B$33,2,0)</f>
        <v>LINA JARAMILLO</v>
      </c>
      <c r="C29" s="13">
        <f>VLOOKUP(B29:B47,'Datos Estudiantes'!$B$15:$J$33,2,0)</f>
        <v>4.9000000000000004</v>
      </c>
      <c r="D29" s="13">
        <f>VLOOKUP(B29:B47,'Datos Estudiantes'!$B$15:$J$33,3,0)</f>
        <v>3.2</v>
      </c>
      <c r="E29" s="13">
        <f>VLOOKUP(B29:B47,'Datos Estudiantes'!$B$15:$J$33,4,0)</f>
        <v>4.9000000000000004</v>
      </c>
      <c r="F29" s="13">
        <f>VLOOKUP(B29:B47,'Datos Estudiantes'!$B$15:$J$33,5,0)</f>
        <v>3.5</v>
      </c>
      <c r="G29" s="13">
        <f>VLOOKUP(B29:B47,'Datos Estudiantes'!$B$15:$J$33,6,0)</f>
        <v>3.9</v>
      </c>
      <c r="H29" s="13">
        <f>VLOOKUP(B29:B47,'Datos Estudiantes'!$B$15:$J$33,7,0)</f>
        <v>4.5</v>
      </c>
      <c r="I29" s="13">
        <f>VLOOKUP(B29:B47,'Datos Estudiantes'!$B$15:$J$33,8,0)</f>
        <v>3.5</v>
      </c>
      <c r="J29" s="13">
        <f>VLOOKUP(B29:B47,'Datos Estudiantes'!B29:$J$33,9,0)</f>
        <v>4.5</v>
      </c>
      <c r="K29" s="13">
        <f t="shared" si="7"/>
        <v>4.1124999999999998</v>
      </c>
      <c r="L29" s="13">
        <f t="shared" si="10"/>
        <v>1.2337499999999999</v>
      </c>
      <c r="M29" s="11">
        <f>VLOOKUP(B29:B48,'Datos Estudiantes'!$B$14:$K$33,10,0)</f>
        <v>4.8</v>
      </c>
      <c r="N29" s="12">
        <f t="shared" si="9"/>
        <v>0.96</v>
      </c>
      <c r="O29" s="11">
        <f>VLOOKUP(B29:B48,'Datos Estudiantes'!$B$14:$L$33,11,0)</f>
        <v>3.7</v>
      </c>
      <c r="P29" s="12">
        <f t="shared" si="8"/>
        <v>0.7400000000000001</v>
      </c>
      <c r="Q29" s="13">
        <f>VLOOKUP(B29:B48,'Datos Estudiantes'!$B$14:$M$33,12,0)</f>
        <v>3.9</v>
      </c>
      <c r="R29" s="12">
        <f t="shared" si="2"/>
        <v>0.39</v>
      </c>
      <c r="S29" s="13">
        <f>VLOOKUP(B29:B48,'Datos Estudiantes'!$B$14:$N$33,13,0)</f>
        <v>3.5</v>
      </c>
      <c r="T29" s="12">
        <f t="shared" si="3"/>
        <v>0.35000000000000003</v>
      </c>
      <c r="U29" s="11">
        <f>VLOOKUP(B29:B48,'Datos Estudiantes'!$B$14:$O$33,14,0)</f>
        <v>3.5</v>
      </c>
      <c r="V29" s="12">
        <f t="shared" si="4"/>
        <v>0.35000000000000003</v>
      </c>
      <c r="W29" s="12">
        <f t="shared" si="5"/>
        <v>4.0237499999999997</v>
      </c>
      <c r="X29" s="21" t="str">
        <f t="shared" si="6"/>
        <v>APROBO</v>
      </c>
    </row>
    <row r="30" spans="1:24" ht="17.25" thickTop="1" thickBot="1" x14ac:dyDescent="0.3">
      <c r="A30" s="3">
        <v>17</v>
      </c>
      <c r="B30" s="3" t="str">
        <f>VLOOKUP(A30,'Datos Estudiantes'!$A$14:$B$33,2,0)</f>
        <v>OSMAIRA VELEZ</v>
      </c>
      <c r="C30" s="13">
        <f>VLOOKUP(B30:B48,'Datos Estudiantes'!$B$15:$J$33,2,0)</f>
        <v>3.9</v>
      </c>
      <c r="D30" s="13">
        <f>VLOOKUP(B30:B48,'Datos Estudiantes'!$B$15:$J$33,3,0)</f>
        <v>5</v>
      </c>
      <c r="E30" s="13">
        <f>VLOOKUP(B30:B48,'Datos Estudiantes'!$B$15:$J$33,4,0)</f>
        <v>4.8</v>
      </c>
      <c r="F30" s="13">
        <f>VLOOKUP(B30:B48,'Datos Estudiantes'!$B$15:$J$33,5,0)</f>
        <v>4</v>
      </c>
      <c r="G30" s="13">
        <f>VLOOKUP(B30:B48,'Datos Estudiantes'!$B$15:$J$33,6,0)</f>
        <v>5</v>
      </c>
      <c r="H30" s="13">
        <f>VLOOKUP(B30:B48,'Datos Estudiantes'!$B$15:$J$33,7,0)</f>
        <v>5</v>
      </c>
      <c r="I30" s="13">
        <f>VLOOKUP(B30:B48,'Datos Estudiantes'!$B$15:$J$33,8,0)</f>
        <v>2.2999999999999998</v>
      </c>
      <c r="J30" s="13">
        <f>VLOOKUP(B30:B48,'Datos Estudiantes'!B30:$J$33,9,0)</f>
        <v>5</v>
      </c>
      <c r="K30" s="13">
        <f t="shared" si="7"/>
        <v>4.375</v>
      </c>
      <c r="L30" s="13">
        <f t="shared" si="10"/>
        <v>1.3125</v>
      </c>
      <c r="M30" s="11">
        <f>VLOOKUP(B30:B49,'Datos Estudiantes'!$B$14:$K$33,10,0)</f>
        <v>3.7</v>
      </c>
      <c r="N30" s="12">
        <f t="shared" si="9"/>
        <v>0.7400000000000001</v>
      </c>
      <c r="O30" s="11">
        <f>VLOOKUP(B30:B49,'Datos Estudiantes'!$B$14:$L$33,11,0)</f>
        <v>4.5</v>
      </c>
      <c r="P30" s="12">
        <f t="shared" si="8"/>
        <v>0.9</v>
      </c>
      <c r="Q30" s="13">
        <f>VLOOKUP(B30:B49,'Datos Estudiantes'!$B$14:$M$33,12,0)</f>
        <v>4.5</v>
      </c>
      <c r="R30" s="12">
        <f t="shared" si="2"/>
        <v>0.45</v>
      </c>
      <c r="S30" s="13">
        <f>VLOOKUP(B30:B49,'Datos Estudiantes'!$B$14:$N$33,13,0)</f>
        <v>4.0999999999999996</v>
      </c>
      <c r="T30" s="12">
        <f t="shared" si="3"/>
        <v>0.41</v>
      </c>
      <c r="U30" s="11">
        <f>VLOOKUP(B30:B49,'Datos Estudiantes'!$B$14:$O$33,14,0)</f>
        <v>4.5</v>
      </c>
      <c r="V30" s="12">
        <f t="shared" si="4"/>
        <v>0.45</v>
      </c>
      <c r="W30" s="12">
        <f t="shared" si="5"/>
        <v>4.2625000000000002</v>
      </c>
      <c r="X30" s="21" t="str">
        <f t="shared" si="6"/>
        <v>APROBO</v>
      </c>
    </row>
    <row r="31" spans="1:24" ht="17.25" thickTop="1" thickBot="1" x14ac:dyDescent="0.3">
      <c r="A31" s="3">
        <v>18</v>
      </c>
      <c r="B31" s="3" t="str">
        <f>VLOOKUP(A31,'Datos Estudiantes'!$A$14:$B$33,2,0)</f>
        <v>PABLO GOMEZ</v>
      </c>
      <c r="C31" s="13">
        <f>VLOOKUP(B31:B49,'Datos Estudiantes'!$B$15:$J$33,2,0)</f>
        <v>3.8</v>
      </c>
      <c r="D31" s="13">
        <f>VLOOKUP(B31:B49,'Datos Estudiantes'!$B$15:$J$33,3,0)</f>
        <v>4.8</v>
      </c>
      <c r="E31" s="13">
        <f>VLOOKUP(B31:B49,'Datos Estudiantes'!$B$15:$J$33,4,0)</f>
        <v>4.5999999999999996</v>
      </c>
      <c r="F31" s="13">
        <f>VLOOKUP(B31:B49,'Datos Estudiantes'!$B$15:$J$33,5,0)</f>
        <v>5</v>
      </c>
      <c r="G31" s="13">
        <f>VLOOKUP(B31:B49,'Datos Estudiantes'!$B$15:$J$33,6,0)</f>
        <v>5</v>
      </c>
      <c r="H31" s="13">
        <f>VLOOKUP(B31:B49,'Datos Estudiantes'!$B$15:$J$33,7,0)</f>
        <v>3.4</v>
      </c>
      <c r="I31" s="13">
        <f>VLOOKUP(B31:B49,'Datos Estudiantes'!$B$15:$J$33,8,0)</f>
        <v>2.9</v>
      </c>
      <c r="J31" s="13">
        <f>VLOOKUP(B31:B49,'Datos Estudiantes'!B31:$J$33,9,0)</f>
        <v>1</v>
      </c>
      <c r="K31" s="13">
        <f t="shared" si="7"/>
        <v>3.8124999999999996</v>
      </c>
      <c r="L31" s="13">
        <f t="shared" si="10"/>
        <v>1.1437499999999998</v>
      </c>
      <c r="M31" s="11">
        <f>VLOOKUP(B31:B50,'Datos Estudiantes'!$B$14:$K$33,10,0)</f>
        <v>3.8</v>
      </c>
      <c r="N31" s="12">
        <f t="shared" si="9"/>
        <v>0.76</v>
      </c>
      <c r="O31" s="11">
        <f>VLOOKUP(B31:B50,'Datos Estudiantes'!$B$14:$L$33,11,0)</f>
        <v>5</v>
      </c>
      <c r="P31" s="12">
        <f t="shared" si="8"/>
        <v>1</v>
      </c>
      <c r="Q31" s="13">
        <f>VLOOKUP(B31:B50,'Datos Estudiantes'!$B$14:$M$33,12,0)</f>
        <v>5</v>
      </c>
      <c r="R31" s="12">
        <f t="shared" si="2"/>
        <v>0.5</v>
      </c>
      <c r="S31" s="13">
        <f>VLOOKUP(B31:B50,'Datos Estudiantes'!$B$14:$N$33,13,0)</f>
        <v>3.8</v>
      </c>
      <c r="T31" s="12">
        <f t="shared" si="3"/>
        <v>0.38</v>
      </c>
      <c r="U31" s="11">
        <f>VLOOKUP(B31:B50,'Datos Estudiantes'!$B$14:$O$33,14,0)</f>
        <v>4.5</v>
      </c>
      <c r="V31" s="12">
        <f t="shared" si="4"/>
        <v>0.45</v>
      </c>
      <c r="W31" s="12">
        <f t="shared" si="5"/>
        <v>4.2337499999999997</v>
      </c>
      <c r="X31" s="21" t="str">
        <f t="shared" si="6"/>
        <v>APROBO</v>
      </c>
    </row>
    <row r="32" spans="1:24" ht="17.25" thickTop="1" thickBot="1" x14ac:dyDescent="0.3">
      <c r="A32" s="3">
        <v>19</v>
      </c>
      <c r="B32" s="3" t="str">
        <f>VLOOKUP(A32,'Datos Estudiantes'!$A$14:$B$33,2,0)</f>
        <v>ROBINSON VARGAS</v>
      </c>
      <c r="C32" s="13">
        <f>VLOOKUP(B32:B50,'Datos Estudiantes'!$B$15:$J$33,2,0)</f>
        <v>5</v>
      </c>
      <c r="D32" s="13">
        <f>VLOOKUP(B32:B50,'Datos Estudiantes'!$B$15:$J$33,3,0)</f>
        <v>4.9000000000000004</v>
      </c>
      <c r="E32" s="13">
        <f>VLOOKUP(B32:B50,'Datos Estudiantes'!$B$15:$J$33,4,0)</f>
        <v>4.2</v>
      </c>
      <c r="F32" s="13">
        <f>VLOOKUP(B32:B50,'Datos Estudiantes'!$B$15:$J$33,5,0)</f>
        <v>4</v>
      </c>
      <c r="G32" s="13">
        <f>VLOOKUP(B32:B50,'Datos Estudiantes'!$B$15:$J$33,6,0)</f>
        <v>4.8</v>
      </c>
      <c r="H32" s="13">
        <f>VLOOKUP(B32:B50,'Datos Estudiantes'!$B$15:$J$33,7,0)</f>
        <v>5</v>
      </c>
      <c r="I32" s="13">
        <f>VLOOKUP(B32:B50,'Datos Estudiantes'!$B$15:$J$33,8,0)</f>
        <v>4.5999999999999996</v>
      </c>
      <c r="J32" s="13">
        <f>VLOOKUP(B32:B50,'Datos Estudiantes'!B32:$J$33,9,0)</f>
        <v>4.5</v>
      </c>
      <c r="K32" s="13">
        <f t="shared" si="7"/>
        <v>4.625</v>
      </c>
      <c r="L32" s="13">
        <f t="shared" si="10"/>
        <v>1.3875</v>
      </c>
      <c r="M32" s="11">
        <f>VLOOKUP(B32:B51,'Datos Estudiantes'!$B$14:$K$33,10,0)</f>
        <v>3.5</v>
      </c>
      <c r="N32" s="12">
        <f t="shared" si="9"/>
        <v>0.70000000000000007</v>
      </c>
      <c r="O32" s="11">
        <f>VLOOKUP(B32:B51,'Datos Estudiantes'!$B$14:$L$33,11,0)</f>
        <v>5</v>
      </c>
      <c r="P32" s="12">
        <f t="shared" si="8"/>
        <v>1</v>
      </c>
      <c r="Q32" s="13">
        <f>VLOOKUP(B32:B51,'Datos Estudiantes'!$B$14:$M$33,12,0)</f>
        <v>4</v>
      </c>
      <c r="R32" s="12">
        <f t="shared" si="2"/>
        <v>0.4</v>
      </c>
      <c r="S32" s="13">
        <f>VLOOKUP(B32:B51,'Datos Estudiantes'!$B$14:$N$33,13,0)</f>
        <v>4</v>
      </c>
      <c r="T32" s="12">
        <f t="shared" si="3"/>
        <v>0.4</v>
      </c>
      <c r="U32" s="11">
        <f>VLOOKUP(B32:B51,'Datos Estudiantes'!$B$14:$O$33,14,0)</f>
        <v>4.5</v>
      </c>
      <c r="V32" s="12">
        <f t="shared" si="4"/>
        <v>0.45</v>
      </c>
      <c r="W32" s="12">
        <f t="shared" si="5"/>
        <v>4.3374999999999995</v>
      </c>
      <c r="X32" s="21" t="str">
        <f t="shared" si="6"/>
        <v>APROBO</v>
      </c>
    </row>
    <row r="33" spans="1:24" ht="17.25" thickTop="1" thickBot="1" x14ac:dyDescent="0.3">
      <c r="A33" s="3">
        <v>20</v>
      </c>
      <c r="B33" s="3" t="str">
        <f>VLOOKUP(A33,'Datos Estudiantes'!$A$14:$B$33,2,0)</f>
        <v>SANDRA MONTOYA</v>
      </c>
      <c r="C33" s="13">
        <f>VLOOKUP(B33:B51,'Datos Estudiantes'!$B$15:$J$33,2,0)</f>
        <v>4</v>
      </c>
      <c r="D33" s="13">
        <f>VLOOKUP(B33:B51,'Datos Estudiantes'!$B$15:$J$33,3,0)</f>
        <v>5</v>
      </c>
      <c r="E33" s="13">
        <f>VLOOKUP(B33:B51,'Datos Estudiantes'!$B$15:$J$33,4,0)</f>
        <v>3.6</v>
      </c>
      <c r="F33" s="13">
        <f>VLOOKUP(B33:B51,'Datos Estudiantes'!$B$15:$J$33,5,0)</f>
        <v>4</v>
      </c>
      <c r="G33" s="13">
        <f>VLOOKUP(B33:B51,'Datos Estudiantes'!$B$15:$J$33,6,0)</f>
        <v>4.8</v>
      </c>
      <c r="H33" s="13">
        <f>VLOOKUP(B33:B51,'Datos Estudiantes'!$B$15:$J$33,7,0)</f>
        <v>3.2</v>
      </c>
      <c r="I33" s="13">
        <f>VLOOKUP(B33:B51,'Datos Estudiantes'!$B$15:$J$33,8,0)</f>
        <v>4.5</v>
      </c>
      <c r="J33" s="13">
        <f>VLOOKUP(B33:B51,'Datos Estudiantes'!B33:$J$33,9,0)</f>
        <v>4.5999999999999996</v>
      </c>
      <c r="K33" s="13">
        <f t="shared" si="7"/>
        <v>4.2125000000000004</v>
      </c>
      <c r="L33" s="13">
        <f t="shared" si="10"/>
        <v>1.2637500000000002</v>
      </c>
      <c r="M33" s="11">
        <f>VLOOKUP(B33:B52,'Datos Estudiantes'!$B$14:$K$33,10,0)</f>
        <v>4</v>
      </c>
      <c r="N33" s="12">
        <f t="shared" si="9"/>
        <v>0.8</v>
      </c>
      <c r="O33" s="11">
        <f>VLOOKUP(B33:B52,'Datos Estudiantes'!$B$14:$L$33,11,0)</f>
        <v>5</v>
      </c>
      <c r="P33" s="12">
        <f t="shared" si="8"/>
        <v>1</v>
      </c>
      <c r="Q33" s="13">
        <f>VLOOKUP(B33:B52,'Datos Estudiantes'!$B$14:$M$33,12,0)</f>
        <v>4</v>
      </c>
      <c r="R33" s="12">
        <f t="shared" si="2"/>
        <v>0.4</v>
      </c>
      <c r="S33" s="13">
        <f>VLOOKUP(B33:B52,'Datos Estudiantes'!$B$14:$N$33,13,0)</f>
        <v>3.9</v>
      </c>
      <c r="T33" s="12">
        <f t="shared" si="3"/>
        <v>0.39</v>
      </c>
      <c r="U33" s="11">
        <f>VLOOKUP(B33:B52,'Datos Estudiantes'!$B$14:$O$33,14,0)</f>
        <v>3.5</v>
      </c>
      <c r="V33" s="12">
        <f t="shared" si="4"/>
        <v>0.35000000000000003</v>
      </c>
      <c r="W33" s="12">
        <f t="shared" si="5"/>
        <v>4.2037500000000003</v>
      </c>
      <c r="X33" s="21" t="str">
        <f t="shared" si="6"/>
        <v>APROBO</v>
      </c>
    </row>
    <row r="34" spans="1:24" ht="17.25" thickTop="1" thickBot="1" x14ac:dyDescent="0.3">
      <c r="S34" s="4"/>
    </row>
    <row r="35" spans="1:24" ht="17.25" thickTop="1" thickBot="1" x14ac:dyDescent="0.3">
      <c r="W35" s="17" t="s">
        <v>34</v>
      </c>
      <c r="X35" s="15">
        <f>MAX(W14:W33)</f>
        <v>4.5025000000000004</v>
      </c>
    </row>
    <row r="36" spans="1:24" ht="17.25" thickTop="1" thickBot="1" x14ac:dyDescent="0.3">
      <c r="W36" s="17" t="s">
        <v>35</v>
      </c>
      <c r="X36" s="15">
        <f>MIN(W14:W33)</f>
        <v>2.4125000000000001</v>
      </c>
    </row>
    <row r="37" spans="1:24" ht="17.25" thickTop="1" thickBot="1" x14ac:dyDescent="0.3">
      <c r="W37" s="17" t="s">
        <v>36</v>
      </c>
      <c r="X37" s="15">
        <f>AVERAGE(W14:W33)</f>
        <v>3.8843750000000008</v>
      </c>
    </row>
    <row r="38" spans="1:24" ht="16.5" thickTop="1" x14ac:dyDescent="0.25">
      <c r="T38" s="16"/>
    </row>
  </sheetData>
  <sheetProtection algorithmName="SHA-512" hashValue="ZxQ7qkQy7fCWRQKAEU9HpDcGfImOLCMJOZSKIcSMTTL5pgFSo0qOwsLmW+K5lsiap+pMuccorDb+z594j8fjaQ==" saltValue="Ssp4UsV0DE0i4A8mdmmhHg==" spinCount="100000" sheet="1" objects="1" scenarios="1"/>
  <mergeCells count="4">
    <mergeCell ref="A9:X10"/>
    <mergeCell ref="A11:X11"/>
    <mergeCell ref="C12:J12"/>
    <mergeCell ref="C13:J1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0"/>
  <sheetViews>
    <sheetView workbookViewId="0"/>
  </sheetViews>
  <sheetFormatPr defaultColWidth="11.42578125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  <col min="7" max="7" width="4.5703125" customWidth="1"/>
    <col min="8" max="8" width="16.42578125" customWidth="1"/>
    <col min="9" max="9" width="36" customWidth="1"/>
    <col min="10" max="10" width="3.7109375" customWidth="1"/>
    <col min="12" max="12" width="3.28515625" customWidth="1"/>
    <col min="13" max="13" width="16" customWidth="1"/>
    <col min="14" max="14" width="38.140625" customWidth="1"/>
    <col min="15" max="15" width="3.42578125" customWidth="1"/>
  </cols>
  <sheetData>
    <row r="2" spans="2:16" x14ac:dyDescent="0.25">
      <c r="B2" s="22"/>
      <c r="C2" s="22"/>
      <c r="D2" s="22"/>
      <c r="E2" s="22"/>
    </row>
    <row r="3" spans="2:16" x14ac:dyDescent="0.25">
      <c r="B3" s="22"/>
      <c r="C3" s="37" t="s">
        <v>51</v>
      </c>
      <c r="D3" s="36" t="s">
        <v>44</v>
      </c>
      <c r="E3" s="22"/>
    </row>
    <row r="4" spans="2:16" x14ac:dyDescent="0.25">
      <c r="B4" s="22"/>
      <c r="C4" s="37"/>
      <c r="D4" s="36"/>
      <c r="E4" s="22"/>
    </row>
    <row r="5" spans="2:16" x14ac:dyDescent="0.25">
      <c r="B5" s="22"/>
      <c r="C5" s="37"/>
      <c r="D5" s="36"/>
      <c r="E5" s="22"/>
    </row>
    <row r="6" spans="2:16" x14ac:dyDescent="0.25">
      <c r="B6" s="22"/>
      <c r="C6" t="s">
        <v>37</v>
      </c>
      <c r="D6">
        <f>'Planilla Notas'!A14</f>
        <v>1</v>
      </c>
      <c r="E6" s="22"/>
      <c r="H6" s="38" t="s">
        <v>47</v>
      </c>
      <c r="I6" s="38"/>
      <c r="J6" s="38"/>
      <c r="K6" s="38"/>
      <c r="L6" s="38"/>
      <c r="M6" s="38"/>
      <c r="N6" s="38"/>
      <c r="O6" s="38"/>
      <c r="P6" s="38"/>
    </row>
    <row r="7" spans="2:16" x14ac:dyDescent="0.25">
      <c r="B7" s="22"/>
      <c r="C7" t="s">
        <v>38</v>
      </c>
      <c r="D7" t="str">
        <f>VLOOKUP('Informe estudiante'!$D$6,'Planilla Notas'!$A$14:$X$33,2,0)</f>
        <v>ALEJANDRO SEPULVEDA</v>
      </c>
      <c r="E7" s="22"/>
      <c r="H7" s="38"/>
      <c r="I7" s="38"/>
      <c r="J7" s="38"/>
      <c r="K7" s="38"/>
      <c r="L7" s="38"/>
      <c r="M7" s="38"/>
      <c r="N7" s="38"/>
      <c r="O7" s="38"/>
      <c r="P7" s="38"/>
    </row>
    <row r="8" spans="2:16" x14ac:dyDescent="0.25">
      <c r="B8" s="22"/>
      <c r="C8" t="s">
        <v>39</v>
      </c>
      <c r="D8">
        <f>VLOOKUP('Informe estudiante'!$D$6,'Planilla Notas'!$A$14:$X$33,11,0)</f>
        <v>3.7249999999999996</v>
      </c>
      <c r="E8" s="22"/>
      <c r="H8" s="38"/>
      <c r="I8" s="38"/>
      <c r="J8" s="38"/>
      <c r="K8" s="38"/>
      <c r="L8" s="38"/>
      <c r="M8" s="38"/>
      <c r="N8" s="38"/>
      <c r="O8" s="38"/>
      <c r="P8" s="38"/>
    </row>
    <row r="9" spans="2:16" x14ac:dyDescent="0.25">
      <c r="B9" s="22"/>
      <c r="C9" t="s">
        <v>40</v>
      </c>
      <c r="D9">
        <f>VLOOKUP('Informe estudiante'!$D$6,'Planilla Notas'!$A$14:$X$33,13,0)</f>
        <v>3.8</v>
      </c>
      <c r="E9" s="22"/>
      <c r="H9" s="38"/>
      <c r="I9" s="38"/>
      <c r="J9" s="38"/>
      <c r="K9" s="38"/>
      <c r="L9" s="38"/>
      <c r="M9" s="38"/>
      <c r="N9" s="38"/>
      <c r="O9" s="38"/>
      <c r="P9" s="38"/>
    </row>
    <row r="10" spans="2:16" x14ac:dyDescent="0.25">
      <c r="B10" s="22"/>
      <c r="C10" t="s">
        <v>54</v>
      </c>
      <c r="D10">
        <f>VLOOKUP('Informe estudiante'!$D$6,'Planilla Notas'!$A$14:$X$33,15,0)</f>
        <v>4.3</v>
      </c>
      <c r="E10" s="22"/>
      <c r="H10" s="38"/>
      <c r="I10" s="38"/>
      <c r="J10" s="38"/>
      <c r="K10" s="38"/>
      <c r="L10" s="38"/>
      <c r="M10" s="38"/>
      <c r="N10" s="38"/>
      <c r="O10" s="38"/>
      <c r="P10" s="38"/>
    </row>
    <row r="11" spans="2:16" x14ac:dyDescent="0.25">
      <c r="B11" s="22"/>
      <c r="C11" t="s">
        <v>41</v>
      </c>
      <c r="D11">
        <f>VLOOKUP('Informe estudiante'!$D$6,'Planilla Notas'!$A$14:$X$33,17,0)</f>
        <v>3.4</v>
      </c>
      <c r="E11" s="22"/>
      <c r="H11" s="38"/>
      <c r="I11" s="38"/>
      <c r="J11" s="38"/>
      <c r="K11" s="38"/>
      <c r="L11" s="38"/>
      <c r="M11" s="38"/>
      <c r="N11" s="38"/>
      <c r="O11" s="38"/>
      <c r="P11" s="38"/>
    </row>
    <row r="12" spans="2:16" x14ac:dyDescent="0.25">
      <c r="B12" s="22"/>
      <c r="C12" t="s">
        <v>42</v>
      </c>
      <c r="D12">
        <f>VLOOKUP('Informe estudiante'!$D$6,'Planilla Notas'!$A$14:$X$33,21,0)</f>
        <v>3.5</v>
      </c>
      <c r="E12" s="22"/>
    </row>
    <row r="13" spans="2:16" x14ac:dyDescent="0.25">
      <c r="B13" s="22"/>
      <c r="C13" t="s">
        <v>43</v>
      </c>
      <c r="D13">
        <f>VLOOKUP('Informe estudiante'!$D$6,'Planilla Notas'!$A$14:$X$33,23,0)</f>
        <v>3.7174999999999998</v>
      </c>
      <c r="E13" s="22"/>
    </row>
    <row r="14" spans="2:16" x14ac:dyDescent="0.25">
      <c r="B14" s="22"/>
      <c r="E14" s="22"/>
    </row>
    <row r="15" spans="2:16" x14ac:dyDescent="0.25">
      <c r="B15" s="22"/>
      <c r="C15" s="22"/>
      <c r="D15" s="22"/>
      <c r="E15" s="22"/>
    </row>
    <row r="17" spans="2:15" x14ac:dyDescent="0.25">
      <c r="B17" s="22"/>
      <c r="C17" s="22"/>
      <c r="D17" s="22"/>
      <c r="E17" s="22"/>
      <c r="G17" s="22"/>
      <c r="H17" s="22"/>
      <c r="I17" s="22"/>
      <c r="J17" s="22"/>
      <c r="L17" s="22"/>
      <c r="M17" s="22"/>
      <c r="N17" s="22"/>
      <c r="O17" s="22"/>
    </row>
    <row r="18" spans="2:15" ht="15" customHeight="1" x14ac:dyDescent="0.25">
      <c r="B18" s="22"/>
      <c r="C18" s="37" t="s">
        <v>51</v>
      </c>
      <c r="D18" s="36" t="s">
        <v>44</v>
      </c>
      <c r="E18" s="22"/>
      <c r="G18" s="22"/>
      <c r="H18" s="37" t="s">
        <v>51</v>
      </c>
      <c r="I18" s="36" t="s">
        <v>44</v>
      </c>
      <c r="J18" s="22"/>
      <c r="L18" s="22"/>
      <c r="M18" s="37" t="s">
        <v>51</v>
      </c>
      <c r="N18" s="36" t="s">
        <v>44</v>
      </c>
      <c r="O18" s="22"/>
    </row>
    <row r="19" spans="2:15" ht="15" customHeight="1" x14ac:dyDescent="0.25">
      <c r="B19" s="22"/>
      <c r="C19" s="37"/>
      <c r="D19" s="36"/>
      <c r="E19" s="22"/>
      <c r="G19" s="22"/>
      <c r="H19" s="37"/>
      <c r="I19" s="36"/>
      <c r="J19" s="22"/>
      <c r="L19" s="22"/>
      <c r="M19" s="37"/>
      <c r="N19" s="36"/>
      <c r="O19" s="22"/>
    </row>
    <row r="20" spans="2:15" ht="15" customHeight="1" x14ac:dyDescent="0.25">
      <c r="B20" s="22"/>
      <c r="C20" s="37"/>
      <c r="D20" s="36"/>
      <c r="E20" s="22"/>
      <c r="G20" s="22"/>
      <c r="H20" s="37"/>
      <c r="I20" s="36"/>
      <c r="J20" s="22"/>
      <c r="L20" s="22"/>
      <c r="M20" s="37"/>
      <c r="N20" s="36"/>
      <c r="O20" s="22"/>
    </row>
    <row r="21" spans="2:15" x14ac:dyDescent="0.25">
      <c r="B21" s="22"/>
      <c r="C21" t="s">
        <v>37</v>
      </c>
      <c r="D21">
        <f>'Planilla Notas'!A15</f>
        <v>2</v>
      </c>
      <c r="E21" s="22"/>
      <c r="G21" s="22"/>
      <c r="H21" t="s">
        <v>37</v>
      </c>
      <c r="I21">
        <v>3</v>
      </c>
      <c r="J21" s="22"/>
      <c r="L21" s="22"/>
      <c r="M21" t="s">
        <v>37</v>
      </c>
      <c r="N21">
        <v>4</v>
      </c>
      <c r="O21" s="22"/>
    </row>
    <row r="22" spans="2:15" x14ac:dyDescent="0.25">
      <c r="B22" s="22"/>
      <c r="C22" t="s">
        <v>38</v>
      </c>
      <c r="D22" t="str">
        <f>VLOOKUP($D$21,'Planilla Notas'!$A$14:$X$33,2,0)</f>
        <v>CARLOS JARAMILLO</v>
      </c>
      <c r="E22" s="22"/>
      <c r="G22" s="22"/>
      <c r="H22" t="s">
        <v>38</v>
      </c>
      <c r="I22" t="str">
        <f>VLOOKUP($I$21,'Planilla Notas'!$A$14:$X$33,2,0)</f>
        <v>CARLOS VERGARA</v>
      </c>
      <c r="J22" s="22"/>
      <c r="L22" s="22"/>
      <c r="M22" t="s">
        <v>38</v>
      </c>
      <c r="N22" t="str">
        <f>VLOOKUP($N$21,'Planilla Notas'!$A$14:$X$33,2,0)</f>
        <v>CESAR GUARIN</v>
      </c>
      <c r="O22" s="22"/>
    </row>
    <row r="23" spans="2:15" x14ac:dyDescent="0.25">
      <c r="B23" s="22"/>
      <c r="C23" t="s">
        <v>39</v>
      </c>
      <c r="D23">
        <f>VLOOKUP($D$21,'Planilla Notas'!$A$14:$X$33,11,0)</f>
        <v>3.6</v>
      </c>
      <c r="E23" s="22"/>
      <c r="G23" s="22"/>
      <c r="H23" t="s">
        <v>39</v>
      </c>
      <c r="I23">
        <f>VLOOKUP($I$21,'Planilla Notas'!$A$14:$X$33,11,0)</f>
        <v>4.5374999999999996</v>
      </c>
      <c r="J23" s="22"/>
      <c r="L23" s="22"/>
      <c r="M23" t="s">
        <v>39</v>
      </c>
      <c r="N23">
        <f>VLOOKUP($N$21,'Planilla Notas'!$A$14:$X$33,11,0)</f>
        <v>3.9624999999999999</v>
      </c>
      <c r="O23" s="22"/>
    </row>
    <row r="24" spans="2:15" x14ac:dyDescent="0.25">
      <c r="B24" s="22"/>
      <c r="C24" t="s">
        <v>40</v>
      </c>
      <c r="D24">
        <f>VLOOKUP($D$21,'Planilla Notas'!$A$14:$X$33,13,0)</f>
        <v>4.5999999999999996</v>
      </c>
      <c r="E24" s="22"/>
      <c r="G24" s="22"/>
      <c r="H24" t="s">
        <v>40</v>
      </c>
      <c r="I24">
        <f>VLOOKUP($I$21,'Planilla Notas'!$A$14:$X$33,13,0)</f>
        <v>4.5</v>
      </c>
      <c r="J24" s="22"/>
      <c r="L24" s="22"/>
      <c r="M24" t="s">
        <v>40</v>
      </c>
      <c r="N24">
        <f>VLOOKUP($N$21,'Planilla Notas'!$A$14:$X$33,13,0)</f>
        <v>2.9</v>
      </c>
      <c r="O24" s="22"/>
    </row>
    <row r="25" spans="2:15" x14ac:dyDescent="0.25">
      <c r="B25" s="22"/>
      <c r="C25" t="s">
        <v>54</v>
      </c>
      <c r="D25">
        <f>VLOOKUP($D$21,'Planilla Notas'!$A$14:$X$33,15,0)</f>
        <v>3.2</v>
      </c>
      <c r="E25" s="22"/>
      <c r="G25" s="22"/>
      <c r="H25" t="s">
        <v>54</v>
      </c>
      <c r="I25">
        <f>VLOOKUP($I$21,'Planilla Notas'!$A$14:$X$33,15,0)</f>
        <v>4.5999999999999996</v>
      </c>
      <c r="J25" s="22"/>
      <c r="L25" s="22"/>
      <c r="M25" t="s">
        <v>54</v>
      </c>
      <c r="N25">
        <f>VLOOKUP($N$21,'Planilla Notas'!$A$14:$X$33,15,0)</f>
        <v>3</v>
      </c>
      <c r="O25" s="22"/>
    </row>
    <row r="26" spans="2:15" x14ac:dyDescent="0.25">
      <c r="B26" s="22"/>
      <c r="C26" t="s">
        <v>41</v>
      </c>
      <c r="D26">
        <f>VLOOKUP($D$21,'Planilla Notas'!$A$14:$X$33,17,0)</f>
        <v>2.5</v>
      </c>
      <c r="E26" s="22"/>
      <c r="G26" s="22"/>
      <c r="H26" t="s">
        <v>41</v>
      </c>
      <c r="I26">
        <f>VLOOKUP($I$21,'Planilla Notas'!$A$14:$X$33,17,0)</f>
        <v>3.8</v>
      </c>
      <c r="J26" s="22"/>
      <c r="L26" s="22"/>
      <c r="M26" t="s">
        <v>41</v>
      </c>
      <c r="N26">
        <f>VLOOKUP($N$21,'Planilla Notas'!$A$14:$X$33,17,0)</f>
        <v>4.5</v>
      </c>
      <c r="O26" s="22"/>
    </row>
    <row r="27" spans="2:15" x14ac:dyDescent="0.25">
      <c r="B27" s="22"/>
      <c r="C27" t="s">
        <v>42</v>
      </c>
      <c r="D27">
        <f>VLOOKUP($D$21,'Planilla Notas'!$A$14:$X$33,21,0)</f>
        <v>4</v>
      </c>
      <c r="E27" s="22"/>
      <c r="G27" s="22"/>
      <c r="H27" t="s">
        <v>42</v>
      </c>
      <c r="I27">
        <f>VLOOKUP($I$21,'Planilla Notas'!$A$14:$X$33,21,0)</f>
        <v>4</v>
      </c>
      <c r="J27" s="22"/>
      <c r="L27" s="22"/>
      <c r="M27" t="s">
        <v>42</v>
      </c>
      <c r="N27">
        <f>VLOOKUP($N$21,'Planilla Notas'!$A$14:$X$33,21,0)</f>
        <v>3.5</v>
      </c>
      <c r="O27" s="22"/>
    </row>
    <row r="28" spans="2:15" x14ac:dyDescent="0.25">
      <c r="B28" s="22"/>
      <c r="C28" t="s">
        <v>43</v>
      </c>
      <c r="D28">
        <f>VLOOKUP($D$21,'Planilla Notas'!$A$14:$X$33,23,0)</f>
        <v>3.71</v>
      </c>
      <c r="E28" s="22"/>
      <c r="G28" s="22"/>
      <c r="H28" t="s">
        <v>43</v>
      </c>
      <c r="I28">
        <f>VLOOKUP($I$21,'Planilla Notas'!$A$14:$X$33,23,0)</f>
        <v>4.4112499999999999</v>
      </c>
      <c r="J28" s="22"/>
      <c r="L28" s="22"/>
      <c r="M28" t="s">
        <v>43</v>
      </c>
      <c r="N28">
        <f>VLOOKUP($N$21,'Planilla Notas'!$A$14:$X$33,23,0)</f>
        <v>3.2687500000000003</v>
      </c>
      <c r="O28" s="22"/>
    </row>
    <row r="29" spans="2:15" x14ac:dyDescent="0.25">
      <c r="B29" s="22"/>
      <c r="E29" s="22"/>
      <c r="G29" s="22"/>
      <c r="J29" s="22"/>
      <c r="L29" s="22"/>
      <c r="O29" s="22"/>
    </row>
    <row r="30" spans="2:15" x14ac:dyDescent="0.25">
      <c r="B30" s="22"/>
      <c r="C30" s="22"/>
      <c r="D30" s="22"/>
      <c r="E30" s="22"/>
      <c r="G30" s="22"/>
      <c r="H30" s="22"/>
      <c r="I30" s="22"/>
      <c r="J30" s="22"/>
      <c r="L30" s="22"/>
      <c r="M30" s="22"/>
      <c r="N30" s="22"/>
      <c r="O30" s="22"/>
    </row>
    <row r="32" spans="2:15" x14ac:dyDescent="0.25">
      <c r="B32" s="22"/>
      <c r="C32" s="22"/>
      <c r="D32" s="22"/>
      <c r="E32" s="22"/>
      <c r="G32" s="22"/>
      <c r="H32" s="22"/>
      <c r="I32" s="22"/>
      <c r="J32" s="22"/>
      <c r="L32" s="22"/>
      <c r="M32" s="22"/>
      <c r="N32" s="22"/>
      <c r="O32" s="22"/>
    </row>
    <row r="33" spans="2:15" ht="15" customHeight="1" x14ac:dyDescent="0.25">
      <c r="B33" s="22"/>
      <c r="C33" s="37" t="s">
        <v>51</v>
      </c>
      <c r="D33" s="36" t="s">
        <v>44</v>
      </c>
      <c r="E33" s="22"/>
      <c r="G33" s="22"/>
      <c r="H33" s="37" t="s">
        <v>51</v>
      </c>
      <c r="I33" s="36" t="s">
        <v>44</v>
      </c>
      <c r="J33" s="22"/>
      <c r="L33" s="22"/>
      <c r="M33" s="37" t="s">
        <v>51</v>
      </c>
      <c r="N33" s="36" t="s">
        <v>44</v>
      </c>
      <c r="O33" s="22"/>
    </row>
    <row r="34" spans="2:15" ht="15" customHeight="1" x14ac:dyDescent="0.25">
      <c r="B34" s="22"/>
      <c r="C34" s="37"/>
      <c r="D34" s="36"/>
      <c r="E34" s="22"/>
      <c r="G34" s="22"/>
      <c r="H34" s="37"/>
      <c r="I34" s="36"/>
      <c r="J34" s="22"/>
      <c r="L34" s="22"/>
      <c r="M34" s="37"/>
      <c r="N34" s="36"/>
      <c r="O34" s="22"/>
    </row>
    <row r="35" spans="2:15" ht="15" customHeight="1" x14ac:dyDescent="0.25">
      <c r="B35" s="22"/>
      <c r="C35" s="37"/>
      <c r="D35" s="36"/>
      <c r="E35" s="22"/>
      <c r="G35" s="22"/>
      <c r="H35" s="37"/>
      <c r="I35" s="36"/>
      <c r="J35" s="22"/>
      <c r="L35" s="22"/>
      <c r="M35" s="37"/>
      <c r="N35" s="36"/>
      <c r="O35" s="22"/>
    </row>
    <row r="36" spans="2:15" x14ac:dyDescent="0.25">
      <c r="B36" s="22"/>
      <c r="C36" t="s">
        <v>37</v>
      </c>
      <c r="D36">
        <v>5</v>
      </c>
      <c r="E36" s="22"/>
      <c r="G36" s="22"/>
      <c r="H36" t="s">
        <v>37</v>
      </c>
      <c r="I36">
        <v>6</v>
      </c>
      <c r="J36" s="22"/>
      <c r="L36" s="22"/>
      <c r="M36" t="s">
        <v>37</v>
      </c>
      <c r="N36">
        <v>7</v>
      </c>
      <c r="O36" s="22"/>
    </row>
    <row r="37" spans="2:15" x14ac:dyDescent="0.25">
      <c r="B37" s="22"/>
      <c r="C37" t="s">
        <v>38</v>
      </c>
      <c r="D37" t="str">
        <f>VLOOKUP($D$36,'Planilla Notas'!$A$14:$X$33,2,0)</f>
        <v>CLAUDIA MONTES</v>
      </c>
      <c r="E37" s="22"/>
      <c r="G37" s="22"/>
      <c r="H37" t="s">
        <v>38</v>
      </c>
      <c r="I37" t="str">
        <f>VLOOKUP($I$36,'Planilla Notas'!$A$14:$X$33,2,0)</f>
        <v>DEISY BUSTAMANTE</v>
      </c>
      <c r="J37" s="22"/>
      <c r="L37" s="22"/>
      <c r="M37" t="s">
        <v>38</v>
      </c>
      <c r="N37" t="str">
        <f>VLOOKUP($N$36,'Planilla Notas'!$A$14:$X$33,2,0)</f>
        <v>DEISY HERRERA</v>
      </c>
      <c r="O37" s="22"/>
    </row>
    <row r="38" spans="2:15" x14ac:dyDescent="0.25">
      <c r="B38" s="22"/>
      <c r="C38" t="s">
        <v>39</v>
      </c>
      <c r="D38">
        <f>VLOOKUP($D$36,'Planilla Notas'!$A$14:$X$33,11,0)</f>
        <v>3.7875000000000001</v>
      </c>
      <c r="E38" s="22"/>
      <c r="G38" s="22"/>
      <c r="H38" t="s">
        <v>39</v>
      </c>
      <c r="I38">
        <f>VLOOKUP($I$36,'Planilla Notas'!$A$14:$X$33,11,0)</f>
        <v>3.375</v>
      </c>
      <c r="J38" s="22"/>
      <c r="L38" s="22"/>
      <c r="M38" t="s">
        <v>39</v>
      </c>
      <c r="N38">
        <f>VLOOKUP($N$36,'Planilla Notas'!$A$14:$X$33,11,0)</f>
        <v>4.375</v>
      </c>
      <c r="O38" s="22"/>
    </row>
    <row r="39" spans="2:15" x14ac:dyDescent="0.25">
      <c r="B39" s="22"/>
      <c r="C39" t="s">
        <v>40</v>
      </c>
      <c r="D39">
        <f>VLOOKUP($D$36,'Planilla Notas'!$A$14:$X$33,13,0)</f>
        <v>3.2</v>
      </c>
      <c r="E39" s="22"/>
      <c r="G39" s="22"/>
      <c r="H39" t="s">
        <v>40</v>
      </c>
      <c r="I39">
        <f>VLOOKUP($I$36,'Planilla Notas'!$A$14:$X$33,13,0)</f>
        <v>4.9000000000000004</v>
      </c>
      <c r="J39" s="22"/>
      <c r="L39" s="22"/>
      <c r="M39" t="s">
        <v>40</v>
      </c>
      <c r="N39">
        <f>VLOOKUP($N$36,'Planilla Notas'!$A$14:$X$33,13,0)</f>
        <v>2</v>
      </c>
      <c r="O39" s="22"/>
    </row>
    <row r="40" spans="2:15" x14ac:dyDescent="0.25">
      <c r="B40" s="22"/>
      <c r="C40" t="s">
        <v>54</v>
      </c>
      <c r="D40">
        <f>VLOOKUP($D$36,'Planilla Notas'!$A$14:$X$33,15,0)</f>
        <v>5</v>
      </c>
      <c r="E40" s="22"/>
      <c r="G40" s="22"/>
      <c r="H40" t="s">
        <v>54</v>
      </c>
      <c r="I40">
        <f>VLOOKUP($I$36,'Planilla Notas'!$A$14:$X$33,15,0)</f>
        <v>4.3</v>
      </c>
      <c r="J40" s="22"/>
      <c r="L40" s="22"/>
      <c r="M40" t="s">
        <v>54</v>
      </c>
      <c r="N40">
        <f>VLOOKUP($N$36,'Planilla Notas'!$A$14:$X$33,15,0)</f>
        <v>5</v>
      </c>
      <c r="O40" s="22"/>
    </row>
    <row r="41" spans="2:15" x14ac:dyDescent="0.25">
      <c r="B41" s="22"/>
      <c r="C41" t="s">
        <v>41</v>
      </c>
      <c r="D41">
        <f>VLOOKUP($D$36,'Planilla Notas'!$A$14:$X$33,17,0)</f>
        <v>4.5</v>
      </c>
      <c r="E41" s="22"/>
      <c r="G41" s="22"/>
      <c r="H41" t="s">
        <v>41</v>
      </c>
      <c r="I41">
        <f>VLOOKUP($I$36,'Planilla Notas'!$A$14:$X$33,17,0)</f>
        <v>4.5</v>
      </c>
      <c r="J41" s="22"/>
      <c r="L41" s="22"/>
      <c r="M41" t="s">
        <v>41</v>
      </c>
      <c r="N41">
        <f>VLOOKUP($N$36,'Planilla Notas'!$A$14:$X$33,17,0)</f>
        <v>3.9</v>
      </c>
      <c r="O41" s="22"/>
    </row>
    <row r="42" spans="2:15" x14ac:dyDescent="0.25">
      <c r="B42" s="22"/>
      <c r="C42" t="s">
        <v>42</v>
      </c>
      <c r="D42">
        <f>VLOOKUP($D$36,'Planilla Notas'!$A$14:$X$33,21,0)</f>
        <v>3</v>
      </c>
      <c r="E42" s="22"/>
      <c r="G42" s="22"/>
      <c r="H42" t="s">
        <v>42</v>
      </c>
      <c r="I42">
        <f>VLOOKUP($I$36,'Planilla Notas'!$A$14:$X$33,21,0)</f>
        <v>3.5</v>
      </c>
      <c r="J42" s="22"/>
      <c r="L42" s="22"/>
      <c r="M42" t="s">
        <v>42</v>
      </c>
      <c r="N42">
        <f>VLOOKUP($N$36,'Planilla Notas'!$A$14:$X$33,21,0)</f>
        <v>4.5</v>
      </c>
      <c r="O42" s="22"/>
    </row>
    <row r="43" spans="2:15" x14ac:dyDescent="0.25">
      <c r="B43" s="22"/>
      <c r="C43" t="s">
        <v>43</v>
      </c>
      <c r="D43">
        <f>VLOOKUP($D$36,'Planilla Notas'!$A$14:$X$33,23,0)</f>
        <v>4.0262500000000001</v>
      </c>
      <c r="E43" s="22"/>
      <c r="G43" s="22"/>
      <c r="H43" t="s">
        <v>43</v>
      </c>
      <c r="I43">
        <f>VLOOKUP($I$36,'Planilla Notas'!$A$14:$X$33,23,0)</f>
        <v>4.1524999999999999</v>
      </c>
      <c r="J43" s="22"/>
      <c r="L43" s="22"/>
      <c r="M43" t="s">
        <v>43</v>
      </c>
      <c r="N43">
        <f>VLOOKUP($N$36,'Planilla Notas'!$A$14:$X$33,23,0)</f>
        <v>3.7525000000000004</v>
      </c>
      <c r="O43" s="22"/>
    </row>
    <row r="44" spans="2:15" x14ac:dyDescent="0.25">
      <c r="B44" s="22"/>
      <c r="E44" s="22"/>
      <c r="G44" s="22"/>
      <c r="J44" s="22"/>
      <c r="L44" s="22"/>
      <c r="O44" s="22"/>
    </row>
    <row r="45" spans="2:15" x14ac:dyDescent="0.25">
      <c r="B45" s="22"/>
      <c r="C45" s="22"/>
      <c r="D45" s="22"/>
      <c r="E45" s="22"/>
      <c r="G45" s="22"/>
      <c r="H45" s="22"/>
      <c r="I45" s="22"/>
      <c r="J45" s="22"/>
      <c r="L45" s="22"/>
      <c r="M45" s="22"/>
      <c r="N45" s="22"/>
      <c r="O45" s="22"/>
    </row>
    <row r="47" spans="2:15" x14ac:dyDescent="0.25">
      <c r="B47" s="22"/>
      <c r="C47" s="22"/>
      <c r="D47" s="22"/>
      <c r="E47" s="22"/>
      <c r="G47" s="22"/>
      <c r="H47" s="22"/>
      <c r="I47" s="22"/>
      <c r="J47" s="22"/>
      <c r="L47" s="22"/>
      <c r="M47" s="22"/>
      <c r="N47" s="22"/>
      <c r="O47" s="22"/>
    </row>
    <row r="48" spans="2:15" ht="15" customHeight="1" x14ac:dyDescent="0.25">
      <c r="B48" s="22"/>
      <c r="C48" s="37" t="s">
        <v>51</v>
      </c>
      <c r="D48" s="36" t="s">
        <v>44</v>
      </c>
      <c r="E48" s="22"/>
      <c r="G48" s="22"/>
      <c r="H48" s="37" t="s">
        <v>51</v>
      </c>
      <c r="I48" s="36" t="s">
        <v>44</v>
      </c>
      <c r="J48" s="22"/>
      <c r="L48" s="22"/>
      <c r="M48" s="37" t="s">
        <v>51</v>
      </c>
      <c r="N48" s="36" t="s">
        <v>44</v>
      </c>
      <c r="O48" s="22"/>
    </row>
    <row r="49" spans="2:15" ht="15" customHeight="1" x14ac:dyDescent="0.25">
      <c r="B49" s="22"/>
      <c r="C49" s="37"/>
      <c r="D49" s="36"/>
      <c r="E49" s="22"/>
      <c r="G49" s="22"/>
      <c r="H49" s="37"/>
      <c r="I49" s="36"/>
      <c r="J49" s="22"/>
      <c r="L49" s="22"/>
      <c r="M49" s="37"/>
      <c r="N49" s="36"/>
      <c r="O49" s="22"/>
    </row>
    <row r="50" spans="2:15" ht="15" customHeight="1" x14ac:dyDescent="0.25">
      <c r="B50" s="22"/>
      <c r="C50" s="37"/>
      <c r="D50" s="36"/>
      <c r="E50" s="22"/>
      <c r="G50" s="22"/>
      <c r="H50" s="37"/>
      <c r="I50" s="36"/>
      <c r="J50" s="22"/>
      <c r="L50" s="22"/>
      <c r="M50" s="37"/>
      <c r="N50" s="36"/>
      <c r="O50" s="22"/>
    </row>
    <row r="51" spans="2:15" x14ac:dyDescent="0.25">
      <c r="B51" s="22"/>
      <c r="C51" t="s">
        <v>37</v>
      </c>
      <c r="D51">
        <v>8</v>
      </c>
      <c r="E51" s="22"/>
      <c r="G51" s="22"/>
      <c r="H51" t="s">
        <v>37</v>
      </c>
      <c r="I51">
        <v>9</v>
      </c>
      <c r="J51" s="22"/>
      <c r="L51" s="22"/>
      <c r="M51" t="s">
        <v>37</v>
      </c>
      <c r="N51">
        <v>10</v>
      </c>
      <c r="O51" s="22"/>
    </row>
    <row r="52" spans="2:15" x14ac:dyDescent="0.25">
      <c r="B52" s="22"/>
      <c r="C52" t="s">
        <v>38</v>
      </c>
      <c r="D52" t="str">
        <f>VLOOKUP($D$51,'Planilla Notas'!$A$14:$X$33,2,0)</f>
        <v>DIANA VALENCIA</v>
      </c>
      <c r="E52" s="22"/>
      <c r="G52" s="22"/>
      <c r="H52" t="s">
        <v>38</v>
      </c>
      <c r="I52" t="str">
        <f>VLOOKUP($I$51,'Planilla Notas'!$A$14:$X$33,2,0)</f>
        <v>DIEGO GONZALEZ</v>
      </c>
      <c r="J52" s="22"/>
      <c r="L52" s="22"/>
      <c r="M52" t="s">
        <v>38</v>
      </c>
      <c r="N52" t="str">
        <f>VLOOKUP($N$51,'Planilla Notas'!$A$14:$X$33,2,0)</f>
        <v>ELEANY TRUJILLO</v>
      </c>
      <c r="O52" s="22"/>
    </row>
    <row r="53" spans="2:15" x14ac:dyDescent="0.25">
      <c r="B53" s="22"/>
      <c r="C53" t="s">
        <v>39</v>
      </c>
      <c r="D53">
        <f>VLOOKUP($D$51,'Planilla Notas'!$A$14:$X$33,11,0)</f>
        <v>1.7875000000000001</v>
      </c>
      <c r="E53" s="22"/>
      <c r="G53" s="22"/>
      <c r="H53" t="s">
        <v>39</v>
      </c>
      <c r="I53">
        <f>VLOOKUP($I$51,'Planilla Notas'!$A$14:$X$33,11,0)</f>
        <v>2.9750000000000001</v>
      </c>
      <c r="J53" s="22"/>
      <c r="L53" s="22"/>
      <c r="M53" t="s">
        <v>39</v>
      </c>
      <c r="N53">
        <f>VLOOKUP($N$51,'Planilla Notas'!$A$14:$X$33,11,0)</f>
        <v>4.375</v>
      </c>
      <c r="O53" s="22"/>
    </row>
    <row r="54" spans="2:15" x14ac:dyDescent="0.25">
      <c r="B54" s="22"/>
      <c r="C54" t="s">
        <v>40</v>
      </c>
      <c r="D54">
        <f>VLOOKUP($D$51,'Planilla Notas'!$A$14:$X$33,13,0)</f>
        <v>3</v>
      </c>
      <c r="E54" s="22"/>
      <c r="G54" s="22"/>
      <c r="H54" t="s">
        <v>40</v>
      </c>
      <c r="I54">
        <f>VLOOKUP($I$51,'Planilla Notas'!$A$14:$X$33,13,0)</f>
        <v>2.5</v>
      </c>
      <c r="J54" s="22"/>
      <c r="L54" s="22"/>
      <c r="M54" t="s">
        <v>40</v>
      </c>
      <c r="N54">
        <f>VLOOKUP($N$51,'Planilla Notas'!$A$14:$X$33,13,0)</f>
        <v>3.8</v>
      </c>
      <c r="O54" s="22"/>
    </row>
    <row r="55" spans="2:15" x14ac:dyDescent="0.25">
      <c r="B55" s="22"/>
      <c r="C55" t="s">
        <v>54</v>
      </c>
      <c r="D55">
        <f>VLOOKUP($D$51,'Planilla Notas'!$A$14:$X$33,15,0)</f>
        <v>3.9</v>
      </c>
      <c r="E55" s="22"/>
      <c r="G55" s="22"/>
      <c r="H55" t="s">
        <v>54</v>
      </c>
      <c r="I55">
        <f>VLOOKUP($I$51,'Planilla Notas'!$A$14:$X$33,15,0)</f>
        <v>1.3</v>
      </c>
      <c r="J55" s="22"/>
      <c r="L55" s="22"/>
      <c r="M55" t="s">
        <v>54</v>
      </c>
      <c r="N55">
        <f>VLOOKUP($N$51,'Planilla Notas'!$A$14:$X$33,15,0)</f>
        <v>5</v>
      </c>
      <c r="O55" s="22"/>
    </row>
    <row r="56" spans="2:15" x14ac:dyDescent="0.25">
      <c r="B56" s="22"/>
      <c r="C56" t="s">
        <v>41</v>
      </c>
      <c r="D56">
        <f>VLOOKUP($D$51,'Planilla Notas'!$A$14:$X$33,17,0)</f>
        <v>3</v>
      </c>
      <c r="E56" s="22"/>
      <c r="G56" s="22"/>
      <c r="H56" t="s">
        <v>41</v>
      </c>
      <c r="I56">
        <f>VLOOKUP($I$51,'Planilla Notas'!$A$14:$X$33,17,0)</f>
        <v>3.1</v>
      </c>
      <c r="J56" s="22"/>
      <c r="L56" s="22"/>
      <c r="M56" t="s">
        <v>41</v>
      </c>
      <c r="N56">
        <f>VLOOKUP($N$51,'Planilla Notas'!$A$14:$X$33,17,0)</f>
        <v>5</v>
      </c>
      <c r="O56" s="22"/>
    </row>
    <row r="57" spans="2:15" x14ac:dyDescent="0.25">
      <c r="B57" s="22"/>
      <c r="C57" t="s">
        <v>42</v>
      </c>
      <c r="D57">
        <f>VLOOKUP($D$51,'Planilla Notas'!$A$14:$X$33,21,0)</f>
        <v>4.2</v>
      </c>
      <c r="E57" s="22"/>
      <c r="G57" s="22"/>
      <c r="H57" t="s">
        <v>42</v>
      </c>
      <c r="I57">
        <f>VLOOKUP($I$51,'Planilla Notas'!$A$14:$X$33,21,0)</f>
        <v>2.2000000000000002</v>
      </c>
      <c r="J57" s="22"/>
      <c r="L57" s="22"/>
      <c r="M57" t="s">
        <v>42</v>
      </c>
      <c r="N57">
        <f>VLOOKUP($N$51,'Planilla Notas'!$A$14:$X$33,21,0)</f>
        <v>4.5</v>
      </c>
      <c r="O57" s="22"/>
    </row>
    <row r="58" spans="2:15" x14ac:dyDescent="0.25">
      <c r="B58" s="22"/>
      <c r="C58" t="s">
        <v>43</v>
      </c>
      <c r="D58">
        <f>VLOOKUP($D$51,'Planilla Notas'!$A$14:$X$33,23,0)</f>
        <v>2.9862500000000001</v>
      </c>
      <c r="E58" s="22"/>
      <c r="G58" s="22"/>
      <c r="H58" t="s">
        <v>43</v>
      </c>
      <c r="I58">
        <f>VLOOKUP($I$51,'Planilla Notas'!$A$14:$X$33,23,0)</f>
        <v>2.4125000000000001</v>
      </c>
      <c r="J58" s="22"/>
      <c r="L58" s="22"/>
      <c r="M58" t="s">
        <v>43</v>
      </c>
      <c r="N58">
        <f>VLOOKUP($N$51,'Planilla Notas'!$A$14:$X$33,23,0)</f>
        <v>4.5025000000000004</v>
      </c>
      <c r="O58" s="22"/>
    </row>
    <row r="59" spans="2:15" x14ac:dyDescent="0.25">
      <c r="B59" s="22"/>
      <c r="E59" s="22"/>
      <c r="G59" s="22"/>
      <c r="J59" s="22"/>
      <c r="L59" s="22"/>
      <c r="O59" s="22"/>
    </row>
    <row r="60" spans="2:15" x14ac:dyDescent="0.25">
      <c r="B60" s="22"/>
      <c r="C60" s="22"/>
      <c r="D60" s="22"/>
      <c r="E60" s="22"/>
      <c r="G60" s="22"/>
      <c r="H60" s="22"/>
      <c r="I60" s="22"/>
      <c r="J60" s="22"/>
      <c r="L60" s="22"/>
      <c r="M60" s="22"/>
      <c r="N60" s="22"/>
      <c r="O60" s="22"/>
    </row>
    <row r="62" spans="2:15" x14ac:dyDescent="0.25">
      <c r="B62" s="22"/>
      <c r="C62" s="22"/>
      <c r="D62" s="22"/>
      <c r="E62" s="22"/>
      <c r="G62" s="22"/>
      <c r="H62" s="22"/>
      <c r="I62" s="22"/>
      <c r="J62" s="22"/>
      <c r="L62" s="22"/>
      <c r="M62" s="22"/>
      <c r="N62" s="22"/>
      <c r="O62" s="22"/>
    </row>
    <row r="63" spans="2:15" ht="15" customHeight="1" x14ac:dyDescent="0.25">
      <c r="B63" s="22"/>
      <c r="C63" s="37" t="s">
        <v>51</v>
      </c>
      <c r="D63" s="36" t="s">
        <v>44</v>
      </c>
      <c r="E63" s="22"/>
      <c r="G63" s="22"/>
      <c r="H63" s="37" t="s">
        <v>51</v>
      </c>
      <c r="I63" s="36" t="s">
        <v>44</v>
      </c>
      <c r="J63" s="22"/>
      <c r="L63" s="22"/>
      <c r="M63" s="37" t="s">
        <v>51</v>
      </c>
      <c r="N63" s="36" t="s">
        <v>44</v>
      </c>
      <c r="O63" s="22"/>
    </row>
    <row r="64" spans="2:15" ht="15" customHeight="1" x14ac:dyDescent="0.25">
      <c r="B64" s="22"/>
      <c r="C64" s="37"/>
      <c r="D64" s="36"/>
      <c r="E64" s="22"/>
      <c r="G64" s="22"/>
      <c r="H64" s="37"/>
      <c r="I64" s="36"/>
      <c r="J64" s="22"/>
      <c r="L64" s="22"/>
      <c r="M64" s="37"/>
      <c r="N64" s="36"/>
      <c r="O64" s="22"/>
    </row>
    <row r="65" spans="2:15" ht="15" customHeight="1" x14ac:dyDescent="0.25">
      <c r="B65" s="22"/>
      <c r="C65" s="37"/>
      <c r="D65" s="36"/>
      <c r="E65" s="22"/>
      <c r="G65" s="22"/>
      <c r="H65" s="37"/>
      <c r="I65" s="36"/>
      <c r="J65" s="22"/>
      <c r="L65" s="22"/>
      <c r="M65" s="37"/>
      <c r="N65" s="36"/>
      <c r="O65" s="22"/>
    </row>
    <row r="66" spans="2:15" x14ac:dyDescent="0.25">
      <c r="B66" s="22"/>
      <c r="C66" t="s">
        <v>37</v>
      </c>
      <c r="D66">
        <v>11</v>
      </c>
      <c r="E66" s="22"/>
      <c r="G66" s="22"/>
      <c r="H66" t="s">
        <v>37</v>
      </c>
      <c r="I66">
        <v>12</v>
      </c>
      <c r="J66" s="22"/>
      <c r="L66" s="22"/>
      <c r="M66" t="s">
        <v>37</v>
      </c>
      <c r="N66">
        <v>13</v>
      </c>
      <c r="O66" s="22"/>
    </row>
    <row r="67" spans="2:15" x14ac:dyDescent="0.25">
      <c r="B67" s="22"/>
      <c r="C67" t="s">
        <v>38</v>
      </c>
      <c r="D67" t="str">
        <f>VLOOKUP($D$66,'Planilla Notas'!$A$14:$X$33,2,0)</f>
        <v>FREDY MONTES</v>
      </c>
      <c r="E67" s="22"/>
      <c r="G67" s="22"/>
      <c r="H67" t="s">
        <v>38</v>
      </c>
      <c r="I67" t="str">
        <f>VLOOKUP($I$66,'Planilla Notas'!$A$14:$X$33,2,0)</f>
        <v>JHON TOBON</v>
      </c>
      <c r="J67" s="22"/>
      <c r="L67" s="22"/>
      <c r="M67" t="s">
        <v>38</v>
      </c>
      <c r="N67" t="str">
        <f>VLOOKUP($N$66,'Planilla Notas'!$A$14:$X$33,2,0)</f>
        <v>JOSE CIFUENTES</v>
      </c>
      <c r="O67" s="22"/>
    </row>
    <row r="68" spans="2:15" x14ac:dyDescent="0.25">
      <c r="B68" s="22"/>
      <c r="C68" t="s">
        <v>39</v>
      </c>
      <c r="D68">
        <f>VLOOKUP($D$66,'Planilla Notas'!$A$14:$X$33,11,0)</f>
        <v>4.0125000000000002</v>
      </c>
      <c r="E68" s="22"/>
      <c r="G68" s="22"/>
      <c r="H68" t="s">
        <v>39</v>
      </c>
      <c r="I68">
        <f>VLOOKUP($I$66,'Planilla Notas'!$A$14:$X$33,11,0)</f>
        <v>3.55</v>
      </c>
      <c r="J68" s="22"/>
      <c r="L68" s="22"/>
      <c r="M68" t="s">
        <v>39</v>
      </c>
      <c r="N68">
        <f>VLOOKUP($N$66,'Planilla Notas'!$A$14:$X$33,11,0)</f>
        <v>4.3624999999999998</v>
      </c>
      <c r="O68" s="22"/>
    </row>
    <row r="69" spans="2:15" x14ac:dyDescent="0.25">
      <c r="B69" s="22"/>
      <c r="C69" t="s">
        <v>40</v>
      </c>
      <c r="D69">
        <f>VLOOKUP($D$66,'Planilla Notas'!$A$14:$X$33,13,0)</f>
        <v>4.5</v>
      </c>
      <c r="E69" s="22"/>
      <c r="G69" s="22"/>
      <c r="H69" t="s">
        <v>40</v>
      </c>
      <c r="I69">
        <f>VLOOKUP($I$66,'Planilla Notas'!$A$14:$X$33,13,0)</f>
        <v>4.5</v>
      </c>
      <c r="J69" s="22"/>
      <c r="L69" s="22"/>
      <c r="M69" t="s">
        <v>40</v>
      </c>
      <c r="N69">
        <f>VLOOKUP($N$66,'Planilla Notas'!$A$14:$X$33,13,0)</f>
        <v>4.5</v>
      </c>
      <c r="O69" s="22"/>
    </row>
    <row r="70" spans="2:15" x14ac:dyDescent="0.25">
      <c r="B70" s="22"/>
      <c r="C70" t="s">
        <v>54</v>
      </c>
      <c r="D70">
        <f>VLOOKUP($D$66,'Planilla Notas'!$A$14:$X$33,15,0)</f>
        <v>5</v>
      </c>
      <c r="E70" s="22"/>
      <c r="G70" s="22"/>
      <c r="H70" t="s">
        <v>54</v>
      </c>
      <c r="I70">
        <f>VLOOKUP($I$66,'Planilla Notas'!$A$14:$X$33,15,0)</f>
        <v>4</v>
      </c>
      <c r="J70" s="22"/>
      <c r="L70" s="22"/>
      <c r="M70" t="s">
        <v>54</v>
      </c>
      <c r="N70">
        <f>VLOOKUP($N$66,'Planilla Notas'!$A$14:$X$33,15,0)</f>
        <v>4</v>
      </c>
      <c r="O70" s="22"/>
    </row>
    <row r="71" spans="2:15" x14ac:dyDescent="0.25">
      <c r="B71" s="22"/>
      <c r="C71" t="s">
        <v>41</v>
      </c>
      <c r="D71">
        <f>VLOOKUP($D$66,'Planilla Notas'!$A$14:$X$33,17,0)</f>
        <v>4.3</v>
      </c>
      <c r="E71" s="22"/>
      <c r="G71" s="22"/>
      <c r="H71" t="s">
        <v>41</v>
      </c>
      <c r="I71">
        <f>VLOOKUP($I$66,'Planilla Notas'!$A$14:$X$33,17,0)</f>
        <v>3.5</v>
      </c>
      <c r="J71" s="22"/>
      <c r="L71" s="22"/>
      <c r="M71" t="s">
        <v>41</v>
      </c>
      <c r="N71">
        <f>VLOOKUP($N$66,'Planilla Notas'!$A$14:$X$33,17,0)</f>
        <v>4.0999999999999996</v>
      </c>
      <c r="O71" s="22"/>
    </row>
    <row r="72" spans="2:15" x14ac:dyDescent="0.25">
      <c r="B72" s="22"/>
      <c r="C72" t="s">
        <v>42</v>
      </c>
      <c r="D72">
        <f>VLOOKUP($D$66,'Planilla Notas'!$A$14:$X$33,21,0)</f>
        <v>3</v>
      </c>
      <c r="E72" s="22"/>
      <c r="G72" s="22"/>
      <c r="H72" t="s">
        <v>42</v>
      </c>
      <c r="I72">
        <f>VLOOKUP($I$66,'Planilla Notas'!$A$14:$X$33,21,0)</f>
        <v>4.3</v>
      </c>
      <c r="J72" s="22"/>
      <c r="L72" s="22"/>
      <c r="M72" t="s">
        <v>42</v>
      </c>
      <c r="N72">
        <f>VLOOKUP($N$66,'Planilla Notas'!$A$14:$X$33,21,0)</f>
        <v>4.5</v>
      </c>
      <c r="O72" s="22"/>
    </row>
    <row r="73" spans="2:15" x14ac:dyDescent="0.25">
      <c r="B73" s="22"/>
      <c r="C73" t="s">
        <v>43</v>
      </c>
      <c r="D73">
        <f>VLOOKUP($D$66,'Planilla Notas'!$A$14:$X$33,23,0)</f>
        <v>4.2937500000000002</v>
      </c>
      <c r="E73" s="22"/>
      <c r="G73" s="22"/>
      <c r="H73" t="s">
        <v>43</v>
      </c>
      <c r="I73">
        <f>VLOOKUP($I$66,'Planilla Notas'!$A$14:$X$33,23,0)</f>
        <v>4.0249999999999995</v>
      </c>
      <c r="J73" s="22"/>
      <c r="L73" s="22"/>
      <c r="M73" t="s">
        <v>43</v>
      </c>
      <c r="N73">
        <f>VLOOKUP($N$66,'Planilla Notas'!$A$14:$X$33,23,0)</f>
        <v>4.17875</v>
      </c>
      <c r="O73" s="22"/>
    </row>
    <row r="74" spans="2:15" x14ac:dyDescent="0.25">
      <c r="B74" s="22"/>
      <c r="E74" s="22"/>
      <c r="G74" s="22"/>
      <c r="J74" s="22"/>
      <c r="L74" s="22"/>
      <c r="O74" s="22"/>
    </row>
    <row r="75" spans="2:15" x14ac:dyDescent="0.25">
      <c r="B75" s="22"/>
      <c r="C75" s="22"/>
      <c r="D75" s="22"/>
      <c r="E75" s="22"/>
      <c r="G75" s="22"/>
      <c r="H75" s="22"/>
      <c r="I75" s="22"/>
      <c r="J75" s="22"/>
      <c r="L75" s="22"/>
      <c r="M75" s="22"/>
      <c r="N75" s="22"/>
      <c r="O75" s="22"/>
    </row>
    <row r="77" spans="2:15" x14ac:dyDescent="0.25">
      <c r="B77" s="22"/>
      <c r="C77" s="22"/>
      <c r="D77" s="22"/>
      <c r="E77" s="22"/>
      <c r="G77" s="22"/>
      <c r="H77" s="22"/>
      <c r="I77" s="22"/>
      <c r="J77" s="22"/>
      <c r="L77" s="22"/>
      <c r="M77" s="22"/>
      <c r="N77" s="22"/>
      <c r="O77" s="22"/>
    </row>
    <row r="78" spans="2:15" ht="15" customHeight="1" x14ac:dyDescent="0.25">
      <c r="B78" s="22"/>
      <c r="C78" s="37" t="s">
        <v>51</v>
      </c>
      <c r="D78" s="36" t="s">
        <v>44</v>
      </c>
      <c r="E78" s="22"/>
      <c r="G78" s="22"/>
      <c r="H78" s="37" t="s">
        <v>51</v>
      </c>
      <c r="I78" s="36" t="s">
        <v>44</v>
      </c>
      <c r="J78" s="22"/>
      <c r="L78" s="22"/>
      <c r="M78" s="37" t="s">
        <v>51</v>
      </c>
      <c r="N78" s="36" t="s">
        <v>44</v>
      </c>
      <c r="O78" s="22"/>
    </row>
    <row r="79" spans="2:15" ht="15" customHeight="1" x14ac:dyDescent="0.25">
      <c r="B79" s="22"/>
      <c r="C79" s="37"/>
      <c r="D79" s="36"/>
      <c r="E79" s="22"/>
      <c r="G79" s="22"/>
      <c r="H79" s="37"/>
      <c r="I79" s="36"/>
      <c r="J79" s="22"/>
      <c r="L79" s="22"/>
      <c r="M79" s="37"/>
      <c r="N79" s="36"/>
      <c r="O79" s="22"/>
    </row>
    <row r="80" spans="2:15" ht="15" customHeight="1" x14ac:dyDescent="0.25">
      <c r="B80" s="22"/>
      <c r="C80" s="37"/>
      <c r="D80" s="36"/>
      <c r="E80" s="22"/>
      <c r="G80" s="22"/>
      <c r="H80" s="37"/>
      <c r="I80" s="36"/>
      <c r="J80" s="22"/>
      <c r="L80" s="22"/>
      <c r="M80" s="37"/>
      <c r="N80" s="36"/>
      <c r="O80" s="22"/>
    </row>
    <row r="81" spans="2:15" x14ac:dyDescent="0.25">
      <c r="B81" s="22"/>
      <c r="C81" t="s">
        <v>37</v>
      </c>
      <c r="D81">
        <v>14</v>
      </c>
      <c r="E81" s="22"/>
      <c r="G81" s="22"/>
      <c r="H81" t="s">
        <v>37</v>
      </c>
      <c r="I81">
        <v>15</v>
      </c>
      <c r="J81" s="22"/>
      <c r="L81" s="22"/>
      <c r="M81" t="s">
        <v>37</v>
      </c>
      <c r="N81">
        <v>16</v>
      </c>
      <c r="O81" s="22"/>
    </row>
    <row r="82" spans="2:15" x14ac:dyDescent="0.25">
      <c r="B82" s="22"/>
      <c r="C82" t="s">
        <v>38</v>
      </c>
      <c r="D82" t="str">
        <f>VLOOKUP($D$81,'Planilla Notas'!$A$14:$X$33,2,0)</f>
        <v>JOSE DAVID VERGARA</v>
      </c>
      <c r="E82" s="22"/>
      <c r="G82" s="22"/>
      <c r="H82" t="s">
        <v>38</v>
      </c>
      <c r="I82" t="str">
        <f>VLOOKUP($I$81,'Planilla Notas'!$A$14:$X$33,2,0)</f>
        <v>LAURA GONZALEZ</v>
      </c>
      <c r="J82" s="22"/>
      <c r="L82" s="22"/>
      <c r="M82" t="s">
        <v>38</v>
      </c>
      <c r="N82" t="str">
        <f>VLOOKUP($N$81,'Planilla Notas'!$A$14:$X$33,2,0)</f>
        <v>LINA JARAMILLO</v>
      </c>
      <c r="O82" s="22"/>
    </row>
    <row r="83" spans="2:15" x14ac:dyDescent="0.25">
      <c r="B83" s="22"/>
      <c r="C83" t="s">
        <v>39</v>
      </c>
      <c r="D83">
        <f>VLOOKUP($D$81,'Planilla Notas'!$A$14:$X$33,11,0)</f>
        <v>4.5</v>
      </c>
      <c r="E83" s="22"/>
      <c r="G83" s="22"/>
      <c r="H83" t="s">
        <v>39</v>
      </c>
      <c r="I83">
        <f>VLOOKUP($I$81,'Planilla Notas'!$A$14:$X$33,11,0)</f>
        <v>4.3624999999999998</v>
      </c>
      <c r="J83" s="22"/>
      <c r="L83" s="22"/>
      <c r="M83" t="s">
        <v>39</v>
      </c>
      <c r="N83">
        <f>VLOOKUP($N$81,'Planilla Notas'!$A$14:$X$33,11,0)</f>
        <v>4.1124999999999998</v>
      </c>
      <c r="O83" s="22"/>
    </row>
    <row r="84" spans="2:15" x14ac:dyDescent="0.25">
      <c r="B84" s="22"/>
      <c r="C84" t="s">
        <v>40</v>
      </c>
      <c r="D84">
        <f>VLOOKUP($D$81,'Planilla Notas'!$A$14:$X$33,13,0)</f>
        <v>3.9</v>
      </c>
      <c r="E84" s="22"/>
      <c r="G84" s="22"/>
      <c r="H84" t="s">
        <v>40</v>
      </c>
      <c r="I84">
        <f>VLOOKUP($I$81,'Planilla Notas'!$A$14:$X$33,13,0)</f>
        <v>0</v>
      </c>
      <c r="J84" s="22"/>
      <c r="L84" s="22"/>
      <c r="M84" t="s">
        <v>40</v>
      </c>
      <c r="N84">
        <f>VLOOKUP($N$81,'Planilla Notas'!$A$14:$X$33,13,0)</f>
        <v>4.8</v>
      </c>
      <c r="O84" s="22"/>
    </row>
    <row r="85" spans="2:15" x14ac:dyDescent="0.25">
      <c r="B85" s="22"/>
      <c r="C85" t="s">
        <v>54</v>
      </c>
      <c r="D85">
        <f>VLOOKUP($D$81,'Planilla Notas'!$A$14:$X$33,15,0)</f>
        <v>3.6</v>
      </c>
      <c r="E85" s="22"/>
      <c r="G85" s="22"/>
      <c r="H85" t="s">
        <v>54</v>
      </c>
      <c r="I85">
        <f>VLOOKUP($I$81,'Planilla Notas'!$A$14:$X$33,15,0)</f>
        <v>3.1</v>
      </c>
      <c r="J85" s="22"/>
      <c r="L85" s="22"/>
      <c r="M85" t="s">
        <v>54</v>
      </c>
      <c r="N85">
        <f>VLOOKUP($N$81,'Planilla Notas'!$A$14:$X$33,15,0)</f>
        <v>3.7</v>
      </c>
      <c r="O85" s="22"/>
    </row>
    <row r="86" spans="2:15" x14ac:dyDescent="0.25">
      <c r="B86" s="22"/>
      <c r="C86" t="s">
        <v>41</v>
      </c>
      <c r="D86">
        <f>VLOOKUP($D$81,'Planilla Notas'!$A$14:$X$33,17,0)</f>
        <v>3.8</v>
      </c>
      <c r="E86" s="22"/>
      <c r="G86" s="22"/>
      <c r="H86" t="s">
        <v>41</v>
      </c>
      <c r="I86">
        <f>VLOOKUP($I$81,'Planilla Notas'!$A$14:$X$33,17,0)</f>
        <v>4</v>
      </c>
      <c r="J86" s="22"/>
      <c r="L86" s="22"/>
      <c r="M86" t="s">
        <v>41</v>
      </c>
      <c r="N86">
        <f>VLOOKUP($N$81,'Planilla Notas'!$A$14:$X$33,17,0)</f>
        <v>3.9</v>
      </c>
      <c r="O86" s="22"/>
    </row>
    <row r="87" spans="2:15" x14ac:dyDescent="0.25">
      <c r="B87" s="22"/>
      <c r="C87" t="s">
        <v>42</v>
      </c>
      <c r="D87">
        <f>VLOOKUP($D$81,'Planilla Notas'!$A$14:$X$33,21,0)</f>
        <v>3</v>
      </c>
      <c r="E87" s="22"/>
      <c r="G87" s="22"/>
      <c r="H87" t="s">
        <v>42</v>
      </c>
      <c r="I87">
        <f>VLOOKUP($I$81,'Planilla Notas'!$A$14:$X$33,21,0)</f>
        <v>4</v>
      </c>
      <c r="J87" s="22"/>
      <c r="L87" s="22"/>
      <c r="M87" t="s">
        <v>42</v>
      </c>
      <c r="N87">
        <f>VLOOKUP($N$81,'Planilla Notas'!$A$14:$X$33,21,0)</f>
        <v>3.5</v>
      </c>
      <c r="O87" s="22"/>
    </row>
    <row r="88" spans="2:15" x14ac:dyDescent="0.25">
      <c r="B88" s="22"/>
      <c r="C88" t="s">
        <v>43</v>
      </c>
      <c r="D88">
        <f>VLOOKUP($D$81,'Planilla Notas'!$A$14:$X$33,23,0)</f>
        <v>4.03</v>
      </c>
      <c r="E88" s="22"/>
      <c r="G88" s="22"/>
      <c r="H88" t="s">
        <v>43</v>
      </c>
      <c r="I88">
        <f>VLOOKUP($I$81,'Planilla Notas'!$A$14:$X$33,23,0)</f>
        <v>3.1587499999999999</v>
      </c>
      <c r="J88" s="22"/>
      <c r="L88" s="22"/>
      <c r="M88" t="s">
        <v>43</v>
      </c>
      <c r="N88">
        <f>VLOOKUP($N$81,'Planilla Notas'!$A$14:$X$33,23,0)</f>
        <v>4.0237499999999997</v>
      </c>
      <c r="O88" s="22"/>
    </row>
    <row r="89" spans="2:15" x14ac:dyDescent="0.25">
      <c r="B89" s="22"/>
      <c r="E89" s="22"/>
      <c r="G89" s="22"/>
      <c r="J89" s="22"/>
      <c r="L89" s="22"/>
      <c r="O89" s="22"/>
    </row>
    <row r="90" spans="2:15" x14ac:dyDescent="0.25">
      <c r="B90" s="22"/>
      <c r="C90" s="22"/>
      <c r="D90" s="22"/>
      <c r="E90" s="22"/>
      <c r="G90" s="22"/>
      <c r="H90" s="22"/>
      <c r="I90" s="22"/>
      <c r="J90" s="22"/>
      <c r="L90" s="22"/>
      <c r="M90" s="22"/>
      <c r="N90" s="22"/>
      <c r="O90" s="22"/>
    </row>
    <row r="92" spans="2:15" x14ac:dyDescent="0.25">
      <c r="B92" s="22"/>
      <c r="C92" s="22"/>
      <c r="D92" s="22"/>
      <c r="E92" s="22"/>
      <c r="G92" s="22"/>
      <c r="H92" s="22"/>
      <c r="I92" s="22"/>
      <c r="J92" s="22"/>
      <c r="L92" s="22"/>
      <c r="M92" s="22"/>
      <c r="N92" s="22"/>
      <c r="O92" s="22"/>
    </row>
    <row r="93" spans="2:15" ht="15" customHeight="1" x14ac:dyDescent="0.25">
      <c r="B93" s="22"/>
      <c r="C93" s="37" t="s">
        <v>51</v>
      </c>
      <c r="D93" s="36" t="s">
        <v>44</v>
      </c>
      <c r="E93" s="22"/>
      <c r="G93" s="22"/>
      <c r="H93" s="37" t="s">
        <v>51</v>
      </c>
      <c r="I93" s="36" t="s">
        <v>44</v>
      </c>
      <c r="J93" s="22"/>
      <c r="L93" s="22"/>
      <c r="M93" s="37" t="s">
        <v>51</v>
      </c>
      <c r="N93" s="36" t="s">
        <v>44</v>
      </c>
      <c r="O93" s="22"/>
    </row>
    <row r="94" spans="2:15" ht="15" customHeight="1" x14ac:dyDescent="0.25">
      <c r="B94" s="22"/>
      <c r="C94" s="37"/>
      <c r="D94" s="36"/>
      <c r="E94" s="22"/>
      <c r="G94" s="22"/>
      <c r="H94" s="37"/>
      <c r="I94" s="36"/>
      <c r="J94" s="22"/>
      <c r="L94" s="22"/>
      <c r="M94" s="37"/>
      <c r="N94" s="36"/>
      <c r="O94" s="22"/>
    </row>
    <row r="95" spans="2:15" ht="15" customHeight="1" x14ac:dyDescent="0.25">
      <c r="B95" s="22"/>
      <c r="C95" s="37"/>
      <c r="D95" s="36"/>
      <c r="E95" s="22"/>
      <c r="G95" s="22"/>
      <c r="H95" s="37"/>
      <c r="I95" s="36"/>
      <c r="J95" s="22"/>
      <c r="L95" s="22"/>
      <c r="M95" s="37"/>
      <c r="N95" s="36"/>
      <c r="O95" s="22"/>
    </row>
    <row r="96" spans="2:15" x14ac:dyDescent="0.25">
      <c r="B96" s="22"/>
      <c r="C96" t="s">
        <v>37</v>
      </c>
      <c r="D96">
        <v>17</v>
      </c>
      <c r="E96" s="22"/>
      <c r="G96" s="22"/>
      <c r="H96" t="s">
        <v>37</v>
      </c>
      <c r="I96">
        <v>18</v>
      </c>
      <c r="J96" s="22"/>
      <c r="L96" s="22"/>
      <c r="M96" t="s">
        <v>37</v>
      </c>
      <c r="N96">
        <v>19</v>
      </c>
      <c r="O96" s="22"/>
    </row>
    <row r="97" spans="2:15" x14ac:dyDescent="0.25">
      <c r="B97" s="22"/>
      <c r="C97" t="s">
        <v>38</v>
      </c>
      <c r="D97" t="str">
        <f>VLOOKUP($D$96,'Planilla Notas'!$A$14:$X$33,2,0)</f>
        <v>OSMAIRA VELEZ</v>
      </c>
      <c r="E97" s="22"/>
      <c r="G97" s="22"/>
      <c r="H97" t="s">
        <v>38</v>
      </c>
      <c r="I97" t="str">
        <f>VLOOKUP($I$96,'Planilla Notas'!$A$14:$X$33,2,0)</f>
        <v>PABLO GOMEZ</v>
      </c>
      <c r="J97" s="22"/>
      <c r="L97" s="22"/>
      <c r="M97" t="s">
        <v>38</v>
      </c>
      <c r="N97" t="str">
        <f>VLOOKUP($N$96,'Planilla Notas'!$A$14:$X$33,2,0)</f>
        <v>ROBINSON VARGAS</v>
      </c>
      <c r="O97" s="22"/>
    </row>
    <row r="98" spans="2:15" x14ac:dyDescent="0.25">
      <c r="B98" s="22"/>
      <c r="C98" t="s">
        <v>39</v>
      </c>
      <c r="D98">
        <f>VLOOKUP($D$96,'Planilla Notas'!$A$14:$X$33,11,0)</f>
        <v>4.375</v>
      </c>
      <c r="E98" s="22"/>
      <c r="G98" s="22"/>
      <c r="H98" t="s">
        <v>39</v>
      </c>
      <c r="I98">
        <f>VLOOKUP($I$96,'Planilla Notas'!$A$14:$X$33,11,0)</f>
        <v>3.8124999999999996</v>
      </c>
      <c r="J98" s="22"/>
      <c r="L98" s="22"/>
      <c r="M98" t="s">
        <v>39</v>
      </c>
      <c r="N98">
        <f>VLOOKUP($N$96,'Planilla Notas'!$A$14:$X$33,11,0)</f>
        <v>4.625</v>
      </c>
      <c r="O98" s="22"/>
    </row>
    <row r="99" spans="2:15" x14ac:dyDescent="0.25">
      <c r="B99" s="22"/>
      <c r="C99" t="s">
        <v>40</v>
      </c>
      <c r="D99">
        <f>VLOOKUP($D$96,'Planilla Notas'!$A$14:$X$33,13,0)</f>
        <v>3.7</v>
      </c>
      <c r="E99" s="22"/>
      <c r="G99" s="22"/>
      <c r="H99" t="s">
        <v>40</v>
      </c>
      <c r="I99">
        <f>VLOOKUP($I$96,'Planilla Notas'!$A$14:$X$33,13,0)</f>
        <v>3.8</v>
      </c>
      <c r="J99" s="22"/>
      <c r="L99" s="22"/>
      <c r="M99" t="s">
        <v>40</v>
      </c>
      <c r="N99">
        <f>VLOOKUP($N$96,'Planilla Notas'!$A$14:$X$33,13,0)</f>
        <v>3.5</v>
      </c>
      <c r="O99" s="22"/>
    </row>
    <row r="100" spans="2:15" x14ac:dyDescent="0.25">
      <c r="B100" s="22"/>
      <c r="C100" t="s">
        <v>54</v>
      </c>
      <c r="D100">
        <f>VLOOKUP($D$96,'Planilla Notas'!$A$14:$X$33,15,0)</f>
        <v>4.5</v>
      </c>
      <c r="E100" s="22"/>
      <c r="G100" s="22"/>
      <c r="H100" t="s">
        <v>54</v>
      </c>
      <c r="I100">
        <f>VLOOKUP($I$96,'Planilla Notas'!$A$14:$X$33,15,0)</f>
        <v>5</v>
      </c>
      <c r="J100" s="22"/>
      <c r="L100" s="22"/>
      <c r="M100" t="s">
        <v>54</v>
      </c>
      <c r="N100">
        <f>VLOOKUP($N$96,'Planilla Notas'!$A$14:$X$33,15,0)</f>
        <v>5</v>
      </c>
      <c r="O100" s="22"/>
    </row>
    <row r="101" spans="2:15" x14ac:dyDescent="0.25">
      <c r="B101" s="22"/>
      <c r="C101" t="s">
        <v>41</v>
      </c>
      <c r="D101">
        <f>VLOOKUP($D$96,'Planilla Notas'!$A$14:$X$33,17,0)</f>
        <v>4.5</v>
      </c>
      <c r="E101" s="22"/>
      <c r="G101" s="22"/>
      <c r="H101" t="s">
        <v>41</v>
      </c>
      <c r="I101">
        <f>VLOOKUP($I$96,'Planilla Notas'!$A$14:$X$33,17,0)</f>
        <v>5</v>
      </c>
      <c r="J101" s="22"/>
      <c r="L101" s="22"/>
      <c r="M101" t="s">
        <v>41</v>
      </c>
      <c r="N101">
        <f>VLOOKUP($N$96,'Planilla Notas'!$A$14:$X$33,17,0)</f>
        <v>4</v>
      </c>
      <c r="O101" s="22"/>
    </row>
    <row r="102" spans="2:15" x14ac:dyDescent="0.25">
      <c r="B102" s="22"/>
      <c r="C102" t="s">
        <v>42</v>
      </c>
      <c r="D102">
        <f>VLOOKUP($D$96,'Planilla Notas'!$A$14:$X$33,21,0)</f>
        <v>4.5</v>
      </c>
      <c r="E102" s="22"/>
      <c r="G102" s="22"/>
      <c r="H102" t="s">
        <v>42</v>
      </c>
      <c r="I102">
        <f>VLOOKUP($I$96,'Planilla Notas'!$A$14:$X$33,21,0)</f>
        <v>4.5</v>
      </c>
      <c r="J102" s="22"/>
      <c r="L102" s="22"/>
      <c r="M102" t="s">
        <v>42</v>
      </c>
      <c r="N102">
        <f>VLOOKUP($N$96,'Planilla Notas'!$A$14:$X$33,21,0)</f>
        <v>4.5</v>
      </c>
      <c r="O102" s="22"/>
    </row>
    <row r="103" spans="2:15" x14ac:dyDescent="0.25">
      <c r="B103" s="22"/>
      <c r="C103" t="s">
        <v>43</v>
      </c>
      <c r="D103">
        <f>VLOOKUP($D$96,'Planilla Notas'!$A$14:$X$33,23,0)</f>
        <v>4.2625000000000002</v>
      </c>
      <c r="E103" s="22"/>
      <c r="G103" s="22"/>
      <c r="H103" t="s">
        <v>43</v>
      </c>
      <c r="I103">
        <f>VLOOKUP($I$96,'Planilla Notas'!$A$14:$X$33,23,0)</f>
        <v>4.2337499999999997</v>
      </c>
      <c r="J103" s="22"/>
      <c r="L103" s="22"/>
      <c r="M103" t="s">
        <v>43</v>
      </c>
      <c r="N103">
        <f>VLOOKUP($N$96,'Planilla Notas'!$A$14:$X$33,23,0)</f>
        <v>4.3374999999999995</v>
      </c>
      <c r="O103" s="22"/>
    </row>
    <row r="104" spans="2:15" x14ac:dyDescent="0.25">
      <c r="B104" s="22"/>
      <c r="E104" s="22"/>
      <c r="G104" s="22"/>
      <c r="J104" s="22"/>
      <c r="L104" s="22"/>
      <c r="O104" s="22"/>
    </row>
    <row r="105" spans="2:15" x14ac:dyDescent="0.25">
      <c r="B105" s="22"/>
      <c r="C105" s="22"/>
      <c r="D105" s="22"/>
      <c r="E105" s="22"/>
      <c r="G105" s="22"/>
      <c r="H105" s="22"/>
      <c r="I105" s="22"/>
      <c r="J105" s="22"/>
      <c r="L105" s="22"/>
      <c r="M105" s="22"/>
      <c r="N105" s="22"/>
      <c r="O105" s="22"/>
    </row>
    <row r="107" spans="2:15" x14ac:dyDescent="0.25">
      <c r="B107" s="22"/>
      <c r="C107" s="22"/>
      <c r="D107" s="22"/>
      <c r="E107" s="22"/>
    </row>
    <row r="108" spans="2:15" ht="15" customHeight="1" x14ac:dyDescent="0.25">
      <c r="B108" s="22"/>
      <c r="C108" s="37" t="s">
        <v>51</v>
      </c>
      <c r="D108" s="36" t="s">
        <v>44</v>
      </c>
      <c r="E108" s="22"/>
    </row>
    <row r="109" spans="2:15" ht="15" customHeight="1" x14ac:dyDescent="0.25">
      <c r="B109" s="22"/>
      <c r="C109" s="37"/>
      <c r="D109" s="36"/>
      <c r="E109" s="22"/>
    </row>
    <row r="110" spans="2:15" ht="15" customHeight="1" x14ac:dyDescent="0.25">
      <c r="B110" s="22"/>
      <c r="C110" s="37"/>
      <c r="D110" s="36"/>
      <c r="E110" s="22"/>
    </row>
    <row r="111" spans="2:15" x14ac:dyDescent="0.25">
      <c r="B111" s="22"/>
      <c r="C111" t="s">
        <v>37</v>
      </c>
      <c r="D111">
        <v>20</v>
      </c>
      <c r="E111" s="22"/>
    </row>
    <row r="112" spans="2:15" x14ac:dyDescent="0.25">
      <c r="B112" s="22"/>
      <c r="C112" t="s">
        <v>38</v>
      </c>
      <c r="D112" t="str">
        <f>VLOOKUP($D$111,'Planilla Notas'!$A$14:$X$33,2,0)</f>
        <v>SANDRA MONTOYA</v>
      </c>
      <c r="E112" s="22"/>
    </row>
    <row r="113" spans="2:5" x14ac:dyDescent="0.25">
      <c r="B113" s="22"/>
      <c r="C113" t="s">
        <v>39</v>
      </c>
      <c r="D113">
        <f>VLOOKUP($D$111,'Planilla Notas'!$A$14:$X$33,11,0)</f>
        <v>4.2125000000000004</v>
      </c>
      <c r="E113" s="22"/>
    </row>
    <row r="114" spans="2:5" x14ac:dyDescent="0.25">
      <c r="B114" s="22"/>
      <c r="C114" t="s">
        <v>40</v>
      </c>
      <c r="D114">
        <f>VLOOKUP($D$111,'Planilla Notas'!$A$14:$X$33,13,0)</f>
        <v>4</v>
      </c>
      <c r="E114" s="22"/>
    </row>
    <row r="115" spans="2:5" x14ac:dyDescent="0.25">
      <c r="B115" s="22"/>
      <c r="C115" t="s">
        <v>54</v>
      </c>
      <c r="D115">
        <f>VLOOKUP($D$111,'Planilla Notas'!$A$14:$X$33,15,0)</f>
        <v>5</v>
      </c>
      <c r="E115" s="22"/>
    </row>
    <row r="116" spans="2:5" x14ac:dyDescent="0.25">
      <c r="B116" s="22"/>
      <c r="C116" t="s">
        <v>41</v>
      </c>
      <c r="D116">
        <f>VLOOKUP($D$111,'Planilla Notas'!$A$14:$X$33,17,0)</f>
        <v>4</v>
      </c>
      <c r="E116" s="22"/>
    </row>
    <row r="117" spans="2:5" x14ac:dyDescent="0.25">
      <c r="B117" s="22"/>
      <c r="C117" t="s">
        <v>42</v>
      </c>
      <c r="D117">
        <f>VLOOKUP($D$111,'Planilla Notas'!$A$14:$X$33,21,0)</f>
        <v>3.5</v>
      </c>
      <c r="E117" s="22"/>
    </row>
    <row r="118" spans="2:5" x14ac:dyDescent="0.25">
      <c r="B118" s="22"/>
      <c r="C118" t="s">
        <v>43</v>
      </c>
      <c r="D118">
        <f>VLOOKUP($D$111,'Planilla Notas'!$A$14:$X$33,23,0)</f>
        <v>4.2037500000000003</v>
      </c>
      <c r="E118" s="22"/>
    </row>
    <row r="119" spans="2:5" x14ac:dyDescent="0.25">
      <c r="B119" s="22"/>
      <c r="E119" s="22"/>
    </row>
    <row r="120" spans="2:5" x14ac:dyDescent="0.25">
      <c r="B120" s="22"/>
      <c r="C120" s="22"/>
      <c r="D120" s="22"/>
      <c r="E120" s="22"/>
    </row>
  </sheetData>
  <mergeCells count="41">
    <mergeCell ref="D3:D5"/>
    <mergeCell ref="H6:P11"/>
    <mergeCell ref="C3:C5"/>
    <mergeCell ref="C18:C20"/>
    <mergeCell ref="D18:D20"/>
    <mergeCell ref="H18:H20"/>
    <mergeCell ref="I18:I20"/>
    <mergeCell ref="M18:M20"/>
    <mergeCell ref="N18:N20"/>
    <mergeCell ref="N33:N35"/>
    <mergeCell ref="C48:C50"/>
    <mergeCell ref="D48:D50"/>
    <mergeCell ref="H48:H50"/>
    <mergeCell ref="I48:I50"/>
    <mergeCell ref="M48:M50"/>
    <mergeCell ref="N48:N50"/>
    <mergeCell ref="C33:C35"/>
    <mergeCell ref="D33:D35"/>
    <mergeCell ref="H33:H35"/>
    <mergeCell ref="I33:I35"/>
    <mergeCell ref="M33:M35"/>
    <mergeCell ref="N63:N65"/>
    <mergeCell ref="C78:C80"/>
    <mergeCell ref="D78:D80"/>
    <mergeCell ref="H78:H80"/>
    <mergeCell ref="I78:I80"/>
    <mergeCell ref="M78:M80"/>
    <mergeCell ref="N78:N80"/>
    <mergeCell ref="C63:C65"/>
    <mergeCell ref="D63:D65"/>
    <mergeCell ref="H63:H65"/>
    <mergeCell ref="I63:I65"/>
    <mergeCell ref="M63:M65"/>
    <mergeCell ref="N93:N95"/>
    <mergeCell ref="C108:C110"/>
    <mergeCell ref="D108:D110"/>
    <mergeCell ref="C93:C95"/>
    <mergeCell ref="D93:D95"/>
    <mergeCell ref="H93:H95"/>
    <mergeCell ref="I93:I95"/>
    <mergeCell ref="M93:M9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Datos Estudiantes</vt:lpstr>
      <vt:lpstr>Planilla Notas</vt:lpstr>
      <vt:lpstr>Informe estudiante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Serna, Sindy (LATCO - Medellin)</cp:lastModifiedBy>
  <cp:lastPrinted>2012-10-29T02:26:38Z</cp:lastPrinted>
  <dcterms:created xsi:type="dcterms:W3CDTF">2012-10-28T21:45:19Z</dcterms:created>
  <dcterms:modified xsi:type="dcterms:W3CDTF">2018-10-28T17:31:52Z</dcterms:modified>
</cp:coreProperties>
</file>